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55" windowWidth="20775" windowHeight="9660"/>
  </bookViews>
  <sheets>
    <sheet name="DATA" sheetId="1" r:id="rId1"/>
    <sheet name="ANNEXURE I" sheetId="2" r:id="rId2"/>
    <sheet name="ANNEXURE II" sheetId="3" r:id="rId3"/>
    <sheet name="FORM16_FRONT" sheetId="4" r:id="rId4"/>
    <sheet name="FORM16_BACK" sheetId="5" r:id="rId5"/>
    <sheet name="RENT RECEIPT" sheetId="6" r:id="rId6"/>
    <sheet name="FORM_12BB" sheetId="7" r:id="rId7"/>
    <sheet name="KEY" sheetId="8" state="hidden" r:id="rId8"/>
  </sheets>
  <definedNames>
    <definedName name="AAS">KEY!$G$17:$G$57</definedName>
    <definedName name="AGE">KEY!$BR$19</definedName>
    <definedName name="BEST">DATA!$J$17</definedName>
    <definedName name="BP_2020">KEY!$B$4:$B$84</definedName>
    <definedName name="BP_2021">KEY!$C$4:$C$84</definedName>
    <definedName name="BP_2022">KEY!$E$3:$E$85</definedName>
    <definedName name="DA_HRA_Months">KEY!$H$46:$H$58</definedName>
    <definedName name="DATES">KEY!$K$44:$K$76</definedName>
    <definedName name="EL_MONTHS_01">KEY!$G$17:$G$30</definedName>
    <definedName name="EL_MONTHS_02">KEY!$G$30:$G$43</definedName>
    <definedName name="EL_MONTHS_03">KEY!$G$43:$G$58</definedName>
    <definedName name="LOANS">KEY!$AL$23:$AL$27</definedName>
    <definedName name="Months_18">KEY!$G$18:$G$29</definedName>
    <definedName name="Months_19">KEY!$G$31:$G$42</definedName>
    <definedName name="Months_20">KEY!$G$44:$G$57</definedName>
    <definedName name="OTHER_SAVINGS_LIST">KEY!$AL$3:$AL$19</definedName>
  </definedNames>
  <calcPr calcId="124519"/>
</workbook>
</file>

<file path=xl/calcChain.xml><?xml version="1.0" encoding="utf-8"?>
<calcChain xmlns="http://schemas.openxmlformats.org/spreadsheetml/2006/main">
  <c r="C84" i="8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H57"/>
  <c r="D57"/>
  <c r="C57"/>
  <c r="H56"/>
  <c r="D56"/>
  <c r="C56"/>
  <c r="H55"/>
  <c r="D55"/>
  <c r="C55"/>
  <c r="H54"/>
  <c r="D54"/>
  <c r="C54"/>
  <c r="H53"/>
  <c r="D53"/>
  <c r="C53"/>
  <c r="H52"/>
  <c r="D52"/>
  <c r="C52"/>
  <c r="H51"/>
  <c r="D51"/>
  <c r="C51"/>
  <c r="H50"/>
  <c r="D50"/>
  <c r="C50"/>
  <c r="H49"/>
  <c r="D49"/>
  <c r="C49"/>
  <c r="D48" s="1"/>
  <c r="H48"/>
  <c r="C48"/>
  <c r="H47"/>
  <c r="D47"/>
  <c r="C47"/>
  <c r="AA46"/>
  <c r="T46"/>
  <c r="D46"/>
  <c r="C46"/>
  <c r="D45"/>
  <c r="C45"/>
  <c r="W44"/>
  <c r="D44"/>
  <c r="C44"/>
  <c r="AA43"/>
  <c r="W43" s="1"/>
  <c r="Y43"/>
  <c r="AB43" s="1"/>
  <c r="D43"/>
  <c r="C43"/>
  <c r="AA42"/>
  <c r="W42"/>
  <c r="D42"/>
  <c r="C42"/>
  <c r="AA41"/>
  <c r="W41" s="1"/>
  <c r="T41"/>
  <c r="T42" s="1"/>
  <c r="M41"/>
  <c r="D41"/>
  <c r="C41"/>
  <c r="M40"/>
  <c r="D40"/>
  <c r="C40"/>
  <c r="AA39"/>
  <c r="M39"/>
  <c r="D39"/>
  <c r="C39"/>
  <c r="AA38"/>
  <c r="M38"/>
  <c r="D38"/>
  <c r="C38"/>
  <c r="AA37"/>
  <c r="M37"/>
  <c r="D37"/>
  <c r="C37"/>
  <c r="AA36"/>
  <c r="M36"/>
  <c r="D36"/>
  <c r="C36"/>
  <c r="AA35"/>
  <c r="M35"/>
  <c r="D35"/>
  <c r="C35"/>
  <c r="AA34"/>
  <c r="M34"/>
  <c r="D34"/>
  <c r="C34"/>
  <c r="AN33"/>
  <c r="AA33"/>
  <c r="M33"/>
  <c r="D33"/>
  <c r="C33"/>
  <c r="AN32"/>
  <c r="AA32"/>
  <c r="M32"/>
  <c r="D32"/>
  <c r="C32"/>
  <c r="AN31"/>
  <c r="AA31"/>
  <c r="M31"/>
  <c r="D31"/>
  <c r="C31"/>
  <c r="AN30"/>
  <c r="AA30"/>
  <c r="M30"/>
  <c r="D30"/>
  <c r="C30"/>
  <c r="AN29"/>
  <c r="AA29"/>
  <c r="M29"/>
  <c r="D29"/>
  <c r="C29"/>
  <c r="BN28"/>
  <c r="AA28"/>
  <c r="M28"/>
  <c r="D28"/>
  <c r="C28"/>
  <c r="D27" s="1"/>
  <c r="AN27"/>
  <c r="AA27"/>
  <c r="M27"/>
  <c r="C27"/>
  <c r="D26" s="1"/>
  <c r="AO26"/>
  <c r="AT26" s="1"/>
  <c r="AN26"/>
  <c r="AA26"/>
  <c r="M26"/>
  <c r="C26"/>
  <c r="AO25"/>
  <c r="AT25" s="1"/>
  <c r="AN25"/>
  <c r="AA25"/>
  <c r="M25"/>
  <c r="D25"/>
  <c r="C25"/>
  <c r="D24" s="1"/>
  <c r="AO24"/>
  <c r="AT24" s="1"/>
  <c r="AA24"/>
  <c r="M24"/>
  <c r="C24"/>
  <c r="D23" s="1"/>
  <c r="BD23"/>
  <c r="AO23"/>
  <c r="AT23" s="1"/>
  <c r="AA23"/>
  <c r="M23"/>
  <c r="C23"/>
  <c r="D22" s="1"/>
  <c r="AO22"/>
  <c r="AT22" s="1"/>
  <c r="AN22"/>
  <c r="AA22"/>
  <c r="M22"/>
  <c r="C22"/>
  <c r="AN21"/>
  <c r="AA21"/>
  <c r="M21"/>
  <c r="D21"/>
  <c r="C21"/>
  <c r="BA20"/>
  <c r="AA20"/>
  <c r="M20"/>
  <c r="D20"/>
  <c r="C20"/>
  <c r="D19" s="1"/>
  <c r="BL19"/>
  <c r="BF19"/>
  <c r="AU19"/>
  <c r="AO19"/>
  <c r="AN19"/>
  <c r="AA19"/>
  <c r="M19"/>
  <c r="C19"/>
  <c r="D18" s="1"/>
  <c r="AA18"/>
  <c r="M18"/>
  <c r="C18"/>
  <c r="BJ17"/>
  <c r="BJ26" s="1"/>
  <c r="BE17"/>
  <c r="BE26" s="1"/>
  <c r="BD17"/>
  <c r="BD26" s="1"/>
  <c r="AQ17"/>
  <c r="AO17"/>
  <c r="AN17"/>
  <c r="AA17"/>
  <c r="M17"/>
  <c r="D17"/>
  <c r="C17"/>
  <c r="BH16"/>
  <c r="BH25" s="1"/>
  <c r="BE16"/>
  <c r="BE25" s="1"/>
  <c r="BD16"/>
  <c r="BD25" s="1"/>
  <c r="AA16"/>
  <c r="M16"/>
  <c r="D16"/>
  <c r="C16"/>
  <c r="BH15"/>
  <c r="BH24" s="1"/>
  <c r="BE15"/>
  <c r="BE24" s="1"/>
  <c r="BD15"/>
  <c r="BD24" s="1"/>
  <c r="AO15"/>
  <c r="AQ15" s="1"/>
  <c r="AR15" s="1"/>
  <c r="AS15" s="1"/>
  <c r="AT15" s="1"/>
  <c r="AA15"/>
  <c r="M15"/>
  <c r="D15"/>
  <c r="C15"/>
  <c r="BE14"/>
  <c r="BE23" s="1"/>
  <c r="BD14"/>
  <c r="AO14"/>
  <c r="AQ14" s="1"/>
  <c r="AR14" s="1"/>
  <c r="AS14" s="1"/>
  <c r="AT14" s="1"/>
  <c r="AA14"/>
  <c r="Y14"/>
  <c r="X14"/>
  <c r="M14"/>
  <c r="D14"/>
  <c r="C14"/>
  <c r="BE13"/>
  <c r="BE22" s="1"/>
  <c r="BD13"/>
  <c r="BD22" s="1"/>
  <c r="AQ13"/>
  <c r="AR13" s="1"/>
  <c r="AS13" s="1"/>
  <c r="AT13" s="1"/>
  <c r="AO13"/>
  <c r="AA13"/>
  <c r="Y13"/>
  <c r="X13"/>
  <c r="M13"/>
  <c r="D13"/>
  <c r="C13"/>
  <c r="BE12"/>
  <c r="BE21" s="1"/>
  <c r="BD12"/>
  <c r="BD21" s="1"/>
  <c r="AO12"/>
  <c r="AQ12" s="1"/>
  <c r="AR12" s="1"/>
  <c r="AS12" s="1"/>
  <c r="AT12" s="1"/>
  <c r="AN12"/>
  <c r="AA12"/>
  <c r="Y12"/>
  <c r="X12"/>
  <c r="M12"/>
  <c r="H12"/>
  <c r="G12"/>
  <c r="D12"/>
  <c r="C12"/>
  <c r="D11" s="1"/>
  <c r="BF11"/>
  <c r="BF20" s="1"/>
  <c r="BE11"/>
  <c r="BE20" s="1"/>
  <c r="BD11"/>
  <c r="BD20" s="1"/>
  <c r="BA11"/>
  <c r="AQ11"/>
  <c r="AR11" s="1"/>
  <c r="AS11" s="1"/>
  <c r="AT11" s="1"/>
  <c r="AO11"/>
  <c r="AN11"/>
  <c r="AA11"/>
  <c r="Y11"/>
  <c r="X11"/>
  <c r="M11"/>
  <c r="H11"/>
  <c r="P28" s="1"/>
  <c r="C11"/>
  <c r="D10" s="1"/>
  <c r="BL10"/>
  <c r="BF10"/>
  <c r="AQ10"/>
  <c r="AR10" s="1"/>
  <c r="AS10" s="1"/>
  <c r="AT10" s="1"/>
  <c r="AO10"/>
  <c r="AN10"/>
  <c r="AA10"/>
  <c r="Y10"/>
  <c r="X10"/>
  <c r="M10"/>
  <c r="H10"/>
  <c r="K9" s="1"/>
  <c r="O34" s="1"/>
  <c r="C10"/>
  <c r="AO9"/>
  <c r="AQ9" s="1"/>
  <c r="AR9" s="1"/>
  <c r="AS9" s="1"/>
  <c r="AT9" s="1"/>
  <c r="AN9"/>
  <c r="AA9"/>
  <c r="Y9"/>
  <c r="X9"/>
  <c r="P9"/>
  <c r="M9"/>
  <c r="D9"/>
  <c r="C9"/>
  <c r="BR8"/>
  <c r="AO8"/>
  <c r="AQ8" s="1"/>
  <c r="AR8" s="1"/>
  <c r="AS8" s="1"/>
  <c r="AT8" s="1"/>
  <c r="AN8"/>
  <c r="Y8"/>
  <c r="X8"/>
  <c r="P8"/>
  <c r="M8"/>
  <c r="K8"/>
  <c r="O35" s="1"/>
  <c r="D8"/>
  <c r="C8"/>
  <c r="BR7"/>
  <c r="AS7"/>
  <c r="AT7" s="1"/>
  <c r="AQ7"/>
  <c r="AR7" s="1"/>
  <c r="AO7"/>
  <c r="AN7"/>
  <c r="Y7"/>
  <c r="X7"/>
  <c r="M7"/>
  <c r="D7"/>
  <c r="C7"/>
  <c r="Y6"/>
  <c r="X6"/>
  <c r="M6"/>
  <c r="D6"/>
  <c r="C6"/>
  <c r="BR5"/>
  <c r="AN5"/>
  <c r="Y5"/>
  <c r="X5"/>
  <c r="M5"/>
  <c r="G5"/>
  <c r="D5"/>
  <c r="C5"/>
  <c r="AH4"/>
  <c r="AC4"/>
  <c r="Y4"/>
  <c r="X4"/>
  <c r="P4"/>
  <c r="M4"/>
  <c r="G4"/>
  <c r="D4"/>
  <c r="C4"/>
  <c r="AH3"/>
  <c r="AG5" s="1"/>
  <c r="AD3"/>
  <c r="AC5" s="1"/>
  <c r="Y3"/>
  <c r="X3"/>
  <c r="T3"/>
  <c r="P3"/>
  <c r="M3"/>
  <c r="K3"/>
  <c r="O40" s="1"/>
  <c r="H3"/>
  <c r="O41" s="1"/>
  <c r="O42" s="1"/>
  <c r="D3"/>
  <c r="BG2"/>
  <c r="BA2"/>
  <c r="AD2"/>
  <c r="BF1"/>
  <c r="BL1" s="1"/>
  <c r="F56" i="7"/>
  <c r="D56"/>
  <c r="D55"/>
  <c r="D54"/>
  <c r="C53"/>
  <c r="E51"/>
  <c r="E50"/>
  <c r="E49"/>
  <c r="E48"/>
  <c r="E47"/>
  <c r="E43"/>
  <c r="E38"/>
  <c r="E37"/>
  <c r="E36"/>
  <c r="E35"/>
  <c r="E34"/>
  <c r="E33"/>
  <c r="E31"/>
  <c r="F16"/>
  <c r="C15"/>
  <c r="F14"/>
  <c r="B8"/>
  <c r="B7"/>
  <c r="B6"/>
  <c r="B5"/>
  <c r="C28" i="6"/>
  <c r="E24"/>
  <c r="C24"/>
  <c r="C19"/>
  <c r="C18"/>
  <c r="C17"/>
  <c r="C16"/>
  <c r="C15"/>
  <c r="C14"/>
  <c r="C13"/>
  <c r="E11"/>
  <c r="H46" i="5"/>
  <c r="D43"/>
  <c r="D42"/>
  <c r="C31"/>
  <c r="F30"/>
  <c r="F29"/>
  <c r="F28"/>
  <c r="F27"/>
  <c r="F26"/>
  <c r="F25"/>
  <c r="F24"/>
  <c r="F23"/>
  <c r="F22"/>
  <c r="F21"/>
  <c r="F20"/>
  <c r="F19"/>
  <c r="F31" s="1"/>
  <c r="C7"/>
  <c r="E65" i="4"/>
  <c r="D65" s="1"/>
  <c r="E64"/>
  <c r="D64" s="1"/>
  <c r="E63"/>
  <c r="D63" s="1"/>
  <c r="E59"/>
  <c r="E57"/>
  <c r="E55"/>
  <c r="E54"/>
  <c r="E49"/>
  <c r="E48"/>
  <c r="E47"/>
  <c r="E46"/>
  <c r="E45"/>
  <c r="E44"/>
  <c r="E42"/>
  <c r="D36"/>
  <c r="D34"/>
  <c r="I22"/>
  <c r="I21"/>
  <c r="I11"/>
  <c r="G11"/>
  <c r="E11"/>
  <c r="B11"/>
  <c r="G9"/>
  <c r="G8"/>
  <c r="B8"/>
  <c r="H45" i="5" s="1"/>
  <c r="G7" i="4"/>
  <c r="B7"/>
  <c r="H44" i="5" s="1"/>
  <c r="G6" i="4"/>
  <c r="B6"/>
  <c r="H43" i="5" s="1"/>
  <c r="I64" i="3"/>
  <c r="J11" i="5" s="1"/>
  <c r="H64" i="3"/>
  <c r="H48"/>
  <c r="D44"/>
  <c r="AN24" i="8" s="1"/>
  <c r="D43" i="3"/>
  <c r="AN23" i="8" s="1"/>
  <c r="D42" i="3"/>
  <c r="E44" i="7" s="1"/>
  <c r="D44" s="1"/>
  <c r="M38" i="3"/>
  <c r="H38"/>
  <c r="M46" s="1"/>
  <c r="K37"/>
  <c r="K36"/>
  <c r="K35"/>
  <c r="D35"/>
  <c r="AN15" i="8" s="1"/>
  <c r="K34" i="3"/>
  <c r="D34"/>
  <c r="AN14" i="8" s="1"/>
  <c r="D33" i="3"/>
  <c r="AN13" i="8" s="1"/>
  <c r="D26" i="3"/>
  <c r="AN6" i="8" s="1"/>
  <c r="D24" i="3"/>
  <c r="AN4" i="8" s="1"/>
  <c r="D23" i="3"/>
  <c r="E40" i="4" s="1"/>
  <c r="H20" i="3"/>
  <c r="H36" i="4" s="1"/>
  <c r="I36" s="1"/>
  <c r="C19" i="3"/>
  <c r="D35" i="4" s="1"/>
  <c r="M18" i="3"/>
  <c r="M19" s="1"/>
  <c r="H18"/>
  <c r="H34" i="4" s="1"/>
  <c r="M17" i="3"/>
  <c r="K18" s="1"/>
  <c r="F11"/>
  <c r="F9"/>
  <c r="E7"/>
  <c r="H6"/>
  <c r="M3"/>
  <c r="F13" i="7" s="1"/>
  <c r="G13" s="1"/>
  <c r="L3" i="3"/>
  <c r="F8" s="1"/>
  <c r="F25" i="2"/>
  <c r="AB24"/>
  <c r="Z24"/>
  <c r="P24"/>
  <c r="AA24" s="1"/>
  <c r="AB23"/>
  <c r="Z23"/>
  <c r="P23"/>
  <c r="AA23" s="1"/>
  <c r="AB22"/>
  <c r="Z22"/>
  <c r="P22"/>
  <c r="AA22" s="1"/>
  <c r="AB21"/>
  <c r="Z21"/>
  <c r="P21"/>
  <c r="AA21" s="1"/>
  <c r="AB20"/>
  <c r="Z20"/>
  <c r="P20"/>
  <c r="AA20" s="1"/>
  <c r="AB19"/>
  <c r="AA19"/>
  <c r="P19"/>
  <c r="Z17"/>
  <c r="C17"/>
  <c r="AB16"/>
  <c r="Y16"/>
  <c r="X16"/>
  <c r="O16"/>
  <c r="I16"/>
  <c r="H16"/>
  <c r="AB15"/>
  <c r="Y15"/>
  <c r="X15"/>
  <c r="O15"/>
  <c r="I15"/>
  <c r="H15"/>
  <c r="AB14"/>
  <c r="Y14"/>
  <c r="X14"/>
  <c r="V14"/>
  <c r="O14"/>
  <c r="I14"/>
  <c r="H14"/>
  <c r="AB13"/>
  <c r="Y13"/>
  <c r="X13"/>
  <c r="O13"/>
  <c r="I13"/>
  <c r="H13"/>
  <c r="AB12"/>
  <c r="Y12"/>
  <c r="X12"/>
  <c r="O12"/>
  <c r="I12"/>
  <c r="H12"/>
  <c r="AB11"/>
  <c r="Y11"/>
  <c r="X11"/>
  <c r="O11"/>
  <c r="I11"/>
  <c r="H11"/>
  <c r="AB10"/>
  <c r="Y10"/>
  <c r="X10"/>
  <c r="O10"/>
  <c r="I10"/>
  <c r="H10"/>
  <c r="AB9"/>
  <c r="Y9"/>
  <c r="X9"/>
  <c r="O9"/>
  <c r="I9"/>
  <c r="H9"/>
  <c r="AB8"/>
  <c r="Y8"/>
  <c r="X8"/>
  <c r="O8"/>
  <c r="I8"/>
  <c r="H8"/>
  <c r="AB7"/>
  <c r="Y7"/>
  <c r="X7"/>
  <c r="O7"/>
  <c r="I7"/>
  <c r="H7"/>
  <c r="AB6"/>
  <c r="Y6"/>
  <c r="X6"/>
  <c r="O6"/>
  <c r="I6"/>
  <c r="H6"/>
  <c r="AB5"/>
  <c r="Y5"/>
  <c r="Y25" s="1"/>
  <c r="X5"/>
  <c r="X25" s="1"/>
  <c r="W5"/>
  <c r="W6" s="1"/>
  <c r="W7" s="1"/>
  <c r="W8" s="1"/>
  <c r="W9" s="1"/>
  <c r="W10" s="1"/>
  <c r="W11" s="1"/>
  <c r="W12" s="1"/>
  <c r="W13" s="1"/>
  <c r="W14" s="1"/>
  <c r="W15" s="1"/>
  <c r="W16" s="1"/>
  <c r="V5"/>
  <c r="U5"/>
  <c r="T5"/>
  <c r="S5"/>
  <c r="R5"/>
  <c r="Q5"/>
  <c r="O5"/>
  <c r="O25" s="1"/>
  <c r="N5"/>
  <c r="M5"/>
  <c r="L5"/>
  <c r="K5"/>
  <c r="J5"/>
  <c r="I5"/>
  <c r="H5"/>
  <c r="G5"/>
  <c r="B5"/>
  <c r="H15" i="4" s="1"/>
  <c r="Q4" i="2"/>
  <c r="AA3"/>
  <c r="H5" i="3" s="1"/>
  <c r="S3" i="2"/>
  <c r="F6" i="3" s="1"/>
  <c r="M3" i="2"/>
  <c r="F4" i="3" s="1"/>
  <c r="C3" i="2"/>
  <c r="C5" i="3" s="1"/>
  <c r="AA2" i="2"/>
  <c r="H4" i="3" s="1"/>
  <c r="S2" i="2"/>
  <c r="F5" i="3" s="1"/>
  <c r="M2" i="2"/>
  <c r="C6" i="3" s="1"/>
  <c r="C2" i="2"/>
  <c r="C4" i="3" s="1"/>
  <c r="I37" i="1"/>
  <c r="H9" i="8" s="1"/>
  <c r="I36" i="1"/>
  <c r="H8" i="8" s="1"/>
  <c r="N9" s="1"/>
  <c r="L34" i="1"/>
  <c r="X32"/>
  <c r="T32"/>
  <c r="H47" i="5" s="1"/>
  <c r="Z18" i="1"/>
  <c r="X18"/>
  <c r="U18"/>
  <c r="E18"/>
  <c r="Q18" i="2" s="1"/>
  <c r="Z18" s="1"/>
  <c r="X17" i="1"/>
  <c r="E17"/>
  <c r="X14"/>
  <c r="Z12"/>
  <c r="U12"/>
  <c r="Z11"/>
  <c r="U11"/>
  <c r="Z10"/>
  <c r="U10"/>
  <c r="Z9"/>
  <c r="U9"/>
  <c r="Z8"/>
  <c r="U8"/>
  <c r="Z7"/>
  <c r="Y7"/>
  <c r="U7"/>
  <c r="X5"/>
  <c r="AA4"/>
  <c r="X4"/>
  <c r="L4"/>
  <c r="T4" i="8" s="1"/>
  <c r="X3" i="1"/>
  <c r="I34" i="4" l="1"/>
  <c r="AG4" i="8"/>
  <c r="U3"/>
  <c r="V3" s="1"/>
  <c r="N26"/>
  <c r="N21"/>
  <c r="N18"/>
  <c r="N25"/>
  <c r="N24"/>
  <c r="N23"/>
  <c r="N22"/>
  <c r="N20"/>
  <c r="N19"/>
  <c r="N17"/>
  <c r="N16"/>
  <c r="N15"/>
  <c r="BG11"/>
  <c r="BG20" s="1"/>
  <c r="BR21"/>
  <c r="BR19"/>
  <c r="BQ20"/>
  <c r="B15" i="1" s="1"/>
  <c r="AA7"/>
  <c r="Z5" i="2"/>
  <c r="B6"/>
  <c r="D20" i="5" s="1"/>
  <c r="E19" s="1"/>
  <c r="G6" i="2"/>
  <c r="G7" s="1"/>
  <c r="G8" s="1"/>
  <c r="G9" s="1"/>
  <c r="G10" s="1"/>
  <c r="G11" s="1"/>
  <c r="G12" s="1"/>
  <c r="G13" s="1"/>
  <c r="G14" s="1"/>
  <c r="G15" s="1"/>
  <c r="G16" s="1"/>
  <c r="K6"/>
  <c r="K7" s="1"/>
  <c r="K8" s="1"/>
  <c r="K9" s="1"/>
  <c r="K10" s="1"/>
  <c r="K11" s="1"/>
  <c r="K12" s="1"/>
  <c r="K13" s="1"/>
  <c r="K14" s="1"/>
  <c r="K15" s="1"/>
  <c r="K16" s="1"/>
  <c r="M6"/>
  <c r="M7" s="1"/>
  <c r="M8" s="1"/>
  <c r="M9" s="1"/>
  <c r="M10" s="1"/>
  <c r="M11" s="1"/>
  <c r="M12" s="1"/>
  <c r="M13" s="1"/>
  <c r="M14" s="1"/>
  <c r="M15" s="1"/>
  <c r="M16" s="1"/>
  <c r="Q6"/>
  <c r="S6"/>
  <c r="S7" s="1"/>
  <c r="S8" s="1"/>
  <c r="S9" s="1"/>
  <c r="S10" s="1"/>
  <c r="S11" s="1"/>
  <c r="S12" s="1"/>
  <c r="S13" s="1"/>
  <c r="S14" s="1"/>
  <c r="S15" s="1"/>
  <c r="S16" s="1"/>
  <c r="U6"/>
  <c r="U7" s="1"/>
  <c r="U8" s="1"/>
  <c r="U9" s="1"/>
  <c r="U10" s="1"/>
  <c r="U11" s="1"/>
  <c r="U12" s="1"/>
  <c r="U13" s="1"/>
  <c r="U14" s="1"/>
  <c r="U15" s="1"/>
  <c r="U16" s="1"/>
  <c r="I17"/>
  <c r="I25" s="1"/>
  <c r="K17"/>
  <c r="AB17"/>
  <c r="E17" s="1"/>
  <c r="W25"/>
  <c r="AO6" i="8" s="1"/>
  <c r="AQ6" s="1"/>
  <c r="AR6" s="1"/>
  <c r="AS6" s="1"/>
  <c r="AT6" s="1"/>
  <c r="G8" i="3"/>
  <c r="F19"/>
  <c r="E41" i="4"/>
  <c r="E43"/>
  <c r="E51"/>
  <c r="H55"/>
  <c r="I55" s="1"/>
  <c r="J55" s="1"/>
  <c r="D19" i="5"/>
  <c r="C13" i="7"/>
  <c r="E29"/>
  <c r="E39"/>
  <c r="E41"/>
  <c r="E46"/>
  <c r="F51"/>
  <c r="G51" s="1"/>
  <c r="AH2" i="8"/>
  <c r="AN3"/>
  <c r="U4"/>
  <c r="AC6"/>
  <c r="N14"/>
  <c r="N12"/>
  <c r="N13"/>
  <c r="N11"/>
  <c r="N10"/>
  <c r="N7"/>
  <c r="N6"/>
  <c r="N5"/>
  <c r="AB39"/>
  <c r="AB32"/>
  <c r="AB31"/>
  <c r="AB30"/>
  <c r="N35"/>
  <c r="N33"/>
  <c r="N32"/>
  <c r="N31"/>
  <c r="N29"/>
  <c r="N38"/>
  <c r="N37"/>
  <c r="N36"/>
  <c r="N34"/>
  <c r="N30"/>
  <c r="N28"/>
  <c r="K14"/>
  <c r="O29" s="1"/>
  <c r="K12"/>
  <c r="O31" s="1"/>
  <c r="N27"/>
  <c r="K16"/>
  <c r="O27" s="1"/>
  <c r="K15"/>
  <c r="O28" s="1"/>
  <c r="K13"/>
  <c r="O30" s="1"/>
  <c r="K11"/>
  <c r="O32" s="1"/>
  <c r="K10"/>
  <c r="O33" s="1"/>
  <c r="K7"/>
  <c r="O36" s="1"/>
  <c r="K6"/>
  <c r="O37" s="1"/>
  <c r="K5"/>
  <c r="O38" s="1"/>
  <c r="L5" i="1"/>
  <c r="J6" i="2"/>
  <c r="J7" s="1"/>
  <c r="J8" s="1"/>
  <c r="J9" s="1"/>
  <c r="J10" s="1"/>
  <c r="J11" s="1"/>
  <c r="J12" s="1"/>
  <c r="J13" s="1"/>
  <c r="J14" s="1"/>
  <c r="J15" s="1"/>
  <c r="J16" s="1"/>
  <c r="L6"/>
  <c r="L7" s="1"/>
  <c r="L8" s="1"/>
  <c r="L9" s="1"/>
  <c r="L10" s="1"/>
  <c r="L11" s="1"/>
  <c r="L12" s="1"/>
  <c r="L13" s="1"/>
  <c r="L14" s="1"/>
  <c r="L15" s="1"/>
  <c r="L16" s="1"/>
  <c r="N6"/>
  <c r="N7" s="1"/>
  <c r="N8" s="1"/>
  <c r="N9" s="1"/>
  <c r="N10" s="1"/>
  <c r="N11" s="1"/>
  <c r="N12" s="1"/>
  <c r="N13" s="1"/>
  <c r="N14" s="1"/>
  <c r="N15" s="1"/>
  <c r="N16" s="1"/>
  <c r="R6"/>
  <c r="R7" s="1"/>
  <c r="R8" s="1"/>
  <c r="R9" s="1"/>
  <c r="R10" s="1"/>
  <c r="R11" s="1"/>
  <c r="R12" s="1"/>
  <c r="R13" s="1"/>
  <c r="R14" s="1"/>
  <c r="R15" s="1"/>
  <c r="R16" s="1"/>
  <c r="T6"/>
  <c r="T7" s="1"/>
  <c r="T8" s="1"/>
  <c r="T9" s="1"/>
  <c r="T10" s="1"/>
  <c r="T11" s="1"/>
  <c r="T12" s="1"/>
  <c r="T13" s="1"/>
  <c r="T14" s="1"/>
  <c r="T15" s="1"/>
  <c r="T16" s="1"/>
  <c r="H17"/>
  <c r="H25" s="1"/>
  <c r="J17"/>
  <c r="AC17"/>
  <c r="D17" s="1"/>
  <c r="P17" s="1"/>
  <c r="AA17" s="1"/>
  <c r="O3" i="3"/>
  <c r="C5" i="6" s="1"/>
  <c r="H19" i="3"/>
  <c r="H35" i="4" s="1"/>
  <c r="I35" s="1"/>
  <c r="I38" i="3"/>
  <c r="B9" i="4"/>
  <c r="E50"/>
  <c r="E52"/>
  <c r="E60"/>
  <c r="D60" s="1"/>
  <c r="E61"/>
  <c r="D61" s="1"/>
  <c r="E62"/>
  <c r="D62" s="1"/>
  <c r="E30" i="7"/>
  <c r="E32"/>
  <c r="E40"/>
  <c r="E45"/>
  <c r="D45" s="1"/>
  <c r="N3" i="8"/>
  <c r="K4"/>
  <c r="O39" s="1"/>
  <c r="N4"/>
  <c r="N8"/>
  <c r="X41"/>
  <c r="Y41" s="1"/>
  <c r="AB41" s="1"/>
  <c r="Y46"/>
  <c r="P5"/>
  <c r="P6"/>
  <c r="P7"/>
  <c r="P10"/>
  <c r="P11"/>
  <c r="P13"/>
  <c r="P15"/>
  <c r="P16"/>
  <c r="P17"/>
  <c r="P22"/>
  <c r="P23"/>
  <c r="X42"/>
  <c r="Y42" s="1"/>
  <c r="AB42" s="1"/>
  <c r="P24"/>
  <c r="P25"/>
  <c r="Q42"/>
  <c r="Q41"/>
  <c r="Q40"/>
  <c r="P39"/>
  <c r="Q38"/>
  <c r="R38" s="1"/>
  <c r="C14" i="2" s="1"/>
  <c r="Q37" i="8"/>
  <c r="Q36"/>
  <c r="R36" s="1"/>
  <c r="C12" i="2" s="1"/>
  <c r="P35" i="8"/>
  <c r="Q34"/>
  <c r="P33"/>
  <c r="R32"/>
  <c r="C8" i="2" s="1"/>
  <c r="P32" i="8"/>
  <c r="P31"/>
  <c r="Q30"/>
  <c r="R30" s="1"/>
  <c r="C6" i="2" s="1"/>
  <c r="P29" i="8"/>
  <c r="Q28"/>
  <c r="Q27"/>
  <c r="R27" s="1"/>
  <c r="AB27" s="1"/>
  <c r="P26"/>
  <c r="P21"/>
  <c r="P18"/>
  <c r="R42"/>
  <c r="P42"/>
  <c r="R41"/>
  <c r="P41"/>
  <c r="R40"/>
  <c r="C16" i="2" s="1"/>
  <c r="P40" i="8"/>
  <c r="Q39"/>
  <c r="R39" s="1"/>
  <c r="C15" i="2" s="1"/>
  <c r="P38" i="8"/>
  <c r="R37"/>
  <c r="C13" i="2" s="1"/>
  <c r="P37" i="8"/>
  <c r="P36"/>
  <c r="Q35"/>
  <c r="R35" s="1"/>
  <c r="C11" i="2" s="1"/>
  <c r="R34" i="8"/>
  <c r="C10" i="2" s="1"/>
  <c r="P34" i="8"/>
  <c r="Q33"/>
  <c r="R33" s="1"/>
  <c r="C9" i="2" s="1"/>
  <c r="Q32" i="8"/>
  <c r="Q31"/>
  <c r="R31" s="1"/>
  <c r="C7" i="2" s="1"/>
  <c r="P30" i="8"/>
  <c r="AC43"/>
  <c r="AD43" s="1"/>
  <c r="P12"/>
  <c r="P14"/>
  <c r="P19"/>
  <c r="P20"/>
  <c r="P27"/>
  <c r="R28"/>
  <c r="AB28" s="1"/>
  <c r="Q29"/>
  <c r="R29" s="1"/>
  <c r="X43"/>
  <c r="Y44" s="1"/>
  <c r="T44"/>
  <c r="T45" s="1"/>
  <c r="AC28" l="1"/>
  <c r="AD28" s="1"/>
  <c r="E7" i="2"/>
  <c r="E15"/>
  <c r="AC27" i="8"/>
  <c r="AD27"/>
  <c r="E14" i="2"/>
  <c r="C5"/>
  <c r="AB29" i="8"/>
  <c r="V11" i="2"/>
  <c r="V25" s="1"/>
  <c r="AO21" i="8" s="1"/>
  <c r="AT21" s="1"/>
  <c r="E11" i="2"/>
  <c r="E6"/>
  <c r="E9"/>
  <c r="E12"/>
  <c r="T48" i="8"/>
  <c r="U51" s="1"/>
  <c r="T47"/>
  <c r="U50" s="1"/>
  <c r="E10" i="2"/>
  <c r="E16"/>
  <c r="E8"/>
  <c r="AB46" i="8"/>
  <c r="B18" i="1"/>
  <c r="E13" i="2"/>
  <c r="AC42" i="8"/>
  <c r="AD42"/>
  <c r="AC41"/>
  <c r="AD41"/>
  <c r="L6" i="1"/>
  <c r="T5" i="8"/>
  <c r="B7" i="2"/>
  <c r="D21" i="5" s="1"/>
  <c r="E20" s="1"/>
  <c r="AC30" i="8"/>
  <c r="AD30"/>
  <c r="AC32"/>
  <c r="AD32" s="1"/>
  <c r="Q7" i="2"/>
  <c r="Z6"/>
  <c r="T50" i="8"/>
  <c r="I20" i="3"/>
  <c r="M42" s="1"/>
  <c r="S25" i="2"/>
  <c r="AO5" i="8" s="1"/>
  <c r="AQ5" s="1"/>
  <c r="AR5" s="1"/>
  <c r="AS5" s="1"/>
  <c r="AT5" s="1"/>
  <c r="N25" i="2"/>
  <c r="R25"/>
  <c r="AO4" i="8" s="1"/>
  <c r="AQ4" s="1"/>
  <c r="AR4" s="1"/>
  <c r="AS4" s="1"/>
  <c r="AT4" s="1"/>
  <c r="K25" i="2"/>
  <c r="G25"/>
  <c r="J25"/>
  <c r="AO30" i="8" s="1"/>
  <c r="AT30" s="1"/>
  <c r="J36" i="4"/>
  <c r="AC31" i="8"/>
  <c r="AD31" s="1"/>
  <c r="AC39"/>
  <c r="AD39" s="1"/>
  <c r="AF40"/>
  <c r="AF35"/>
  <c r="AF33"/>
  <c r="AF30"/>
  <c r="AF28"/>
  <c r="AF27"/>
  <c r="AF39"/>
  <c r="AF38"/>
  <c r="AF37"/>
  <c r="AF36"/>
  <c r="AF34"/>
  <c r="AF32"/>
  <c r="AF31"/>
  <c r="AF29"/>
  <c r="BA30"/>
  <c r="AZ29"/>
  <c r="AX29"/>
  <c r="BQ18"/>
  <c r="B16" i="1" s="1"/>
  <c r="AX36" i="8"/>
  <c r="X2" i="1"/>
  <c r="I3" i="4"/>
  <c r="G13" i="5" s="1"/>
  <c r="G3" i="3"/>
  <c r="T12" i="1"/>
  <c r="T11"/>
  <c r="S2"/>
  <c r="T7"/>
  <c r="V4" i="8"/>
  <c r="W4" s="1"/>
  <c r="H4"/>
  <c r="U25" i="2"/>
  <c r="AO27" i="8" s="1"/>
  <c r="AT27" s="1"/>
  <c r="L25" i="2"/>
  <c r="T25"/>
  <c r="AO33" i="8" s="1"/>
  <c r="AT33" s="1"/>
  <c r="M25" i="2"/>
  <c r="W3" i="8"/>
  <c r="AC5" i="2" s="1"/>
  <c r="AC6" l="1"/>
  <c r="D6"/>
  <c r="P6" s="1"/>
  <c r="AA6" s="1"/>
  <c r="V7" i="1"/>
  <c r="AG29" i="8"/>
  <c r="AH29"/>
  <c r="AG32"/>
  <c r="AH32"/>
  <c r="AG36"/>
  <c r="AH36"/>
  <c r="AG38"/>
  <c r="AH38"/>
  <c r="AG27"/>
  <c r="AH27" s="1"/>
  <c r="AG30"/>
  <c r="AH30" s="1"/>
  <c r="AG35"/>
  <c r="AH35" s="1"/>
  <c r="T51"/>
  <c r="T52"/>
  <c r="Q8" i="2"/>
  <c r="Z7"/>
  <c r="U5" i="8"/>
  <c r="V5"/>
  <c r="AC46"/>
  <c r="AD46"/>
  <c r="AC29"/>
  <c r="AD29" s="1"/>
  <c r="K26"/>
  <c r="O17" s="1"/>
  <c r="K21"/>
  <c r="O22" s="1"/>
  <c r="K18"/>
  <c r="O25" s="1"/>
  <c r="K27"/>
  <c r="O16" s="1"/>
  <c r="K20"/>
  <c r="O23" s="1"/>
  <c r="K19"/>
  <c r="O24" s="1"/>
  <c r="K17"/>
  <c r="O26" s="1"/>
  <c r="K28"/>
  <c r="K25"/>
  <c r="O18" s="1"/>
  <c r="K24"/>
  <c r="O19" s="1"/>
  <c r="K23"/>
  <c r="O20" s="1"/>
  <c r="K22"/>
  <c r="O21" s="1"/>
  <c r="AG31"/>
  <c r="AH31"/>
  <c r="AG34"/>
  <c r="AH34"/>
  <c r="AG37"/>
  <c r="AH37"/>
  <c r="AG39"/>
  <c r="AH39"/>
  <c r="AG28"/>
  <c r="AH28" s="1"/>
  <c r="AG33"/>
  <c r="AH33" s="1"/>
  <c r="AG40"/>
  <c r="AH40" s="1"/>
  <c r="T6"/>
  <c r="B8" i="2"/>
  <c r="D22" i="5" s="1"/>
  <c r="E21" s="1"/>
  <c r="L7" i="1"/>
  <c r="C18" i="2"/>
  <c r="D5"/>
  <c r="C25"/>
  <c r="P5"/>
  <c r="E5"/>
  <c r="Q19" i="8" l="1"/>
  <c r="R19" s="1"/>
  <c r="O15"/>
  <c r="H5"/>
  <c r="Q24"/>
  <c r="R24" s="1"/>
  <c r="Q22"/>
  <c r="R22" s="1"/>
  <c r="T7"/>
  <c r="B9" i="2"/>
  <c r="D23" i="5" s="1"/>
  <c r="E22" s="1"/>
  <c r="L8" i="1"/>
  <c r="U6" i="8"/>
  <c r="R20"/>
  <c r="Q20"/>
  <c r="R18"/>
  <c r="Q18"/>
  <c r="R26"/>
  <c r="Q26"/>
  <c r="Q23"/>
  <c r="R23" s="1"/>
  <c r="Q25"/>
  <c r="R25" s="1"/>
  <c r="R17"/>
  <c r="Q17"/>
  <c r="Q9" i="2"/>
  <c r="Z8"/>
  <c r="W5" i="8"/>
  <c r="AA5" i="2"/>
  <c r="Q21" i="8"/>
  <c r="R21" s="1"/>
  <c r="Q16"/>
  <c r="R16" s="1"/>
  <c r="AB21" l="1"/>
  <c r="AF21"/>
  <c r="AB23"/>
  <c r="AF23"/>
  <c r="AB24"/>
  <c r="AF24"/>
  <c r="AB16"/>
  <c r="AF16"/>
  <c r="AB25"/>
  <c r="AF25"/>
  <c r="AB22"/>
  <c r="AF22"/>
  <c r="AB19"/>
  <c r="AF19"/>
  <c r="AC7" i="2"/>
  <c r="D7"/>
  <c r="AB17" i="8"/>
  <c r="AF17"/>
  <c r="AB18"/>
  <c r="AF18"/>
  <c r="T8"/>
  <c r="B10" i="2"/>
  <c r="D24" i="5" s="1"/>
  <c r="E23" s="1"/>
  <c r="L9" i="1"/>
  <c r="U7" i="8"/>
  <c r="V7"/>
  <c r="Q15"/>
  <c r="R15" s="1"/>
  <c r="W6"/>
  <c r="V6"/>
  <c r="Q10" i="2"/>
  <c r="Z9"/>
  <c r="AB26" i="8"/>
  <c r="AF26"/>
  <c r="AB20"/>
  <c r="AF20"/>
  <c r="K29"/>
  <c r="O14" s="1"/>
  <c r="K35"/>
  <c r="O8" s="1"/>
  <c r="K32"/>
  <c r="O11" s="1"/>
  <c r="K39"/>
  <c r="O4" s="1"/>
  <c r="K37"/>
  <c r="O6" s="1"/>
  <c r="K34"/>
  <c r="O9" s="1"/>
  <c r="K40"/>
  <c r="O3" s="1"/>
  <c r="K33"/>
  <c r="O10" s="1"/>
  <c r="K31"/>
  <c r="O12" s="1"/>
  <c r="K38"/>
  <c r="O5" s="1"/>
  <c r="K36"/>
  <c r="O7" s="1"/>
  <c r="K30"/>
  <c r="O13" s="1"/>
  <c r="AB15" l="1"/>
  <c r="AF15"/>
  <c r="Q12"/>
  <c r="R12" s="1"/>
  <c r="AB12" s="1"/>
  <c r="Q3"/>
  <c r="R3" s="1"/>
  <c r="Q11"/>
  <c r="R11" s="1"/>
  <c r="AB11" s="1"/>
  <c r="AC20"/>
  <c r="AD20"/>
  <c r="Q11" i="2"/>
  <c r="Z10"/>
  <c r="AC8"/>
  <c r="D8"/>
  <c r="P8" s="1"/>
  <c r="AA8" s="1"/>
  <c r="Q13" i="8"/>
  <c r="R13" s="1"/>
  <c r="AB13" s="1"/>
  <c r="Q5"/>
  <c r="R5"/>
  <c r="Q10"/>
  <c r="R10"/>
  <c r="AB10" s="1"/>
  <c r="Q9"/>
  <c r="R9" s="1"/>
  <c r="AB9" s="1"/>
  <c r="Q4"/>
  <c r="R4" s="1"/>
  <c r="Q8"/>
  <c r="R8" s="1"/>
  <c r="AG20"/>
  <c r="AH20" s="1"/>
  <c r="AG26"/>
  <c r="AH26"/>
  <c r="AG18"/>
  <c r="AH18"/>
  <c r="AG17"/>
  <c r="AH17" s="1"/>
  <c r="P7" i="2"/>
  <c r="AC19" i="8"/>
  <c r="AD19"/>
  <c r="AC22"/>
  <c r="AD22"/>
  <c r="AC25"/>
  <c r="AD25"/>
  <c r="AC16"/>
  <c r="AD16"/>
  <c r="AC24"/>
  <c r="AD24"/>
  <c r="AC23"/>
  <c r="AD23"/>
  <c r="AC21"/>
  <c r="AD21" s="1"/>
  <c r="W7"/>
  <c r="Q7"/>
  <c r="R7"/>
  <c r="Q6"/>
  <c r="R6"/>
  <c r="Q14"/>
  <c r="R14"/>
  <c r="AB14" s="1"/>
  <c r="AC26"/>
  <c r="AD26" s="1"/>
  <c r="T9"/>
  <c r="L10" i="1"/>
  <c r="B11" i="2"/>
  <c r="D25" i="5" s="1"/>
  <c r="E24" s="1"/>
  <c r="V8" i="8"/>
  <c r="U8"/>
  <c r="AD18"/>
  <c r="AC18"/>
  <c r="AC17"/>
  <c r="AD17" s="1"/>
  <c r="AH19"/>
  <c r="AG19"/>
  <c r="AH22"/>
  <c r="AG22"/>
  <c r="AH25"/>
  <c r="AG25"/>
  <c r="AH16"/>
  <c r="AG16"/>
  <c r="AH24"/>
  <c r="AG24"/>
  <c r="AH23"/>
  <c r="AG23"/>
  <c r="AG21"/>
  <c r="AH21" s="1"/>
  <c r="AC13" l="1"/>
  <c r="AD13"/>
  <c r="AB44"/>
  <c r="AB47" s="1"/>
  <c r="AC9"/>
  <c r="AD9" s="1"/>
  <c r="AC11"/>
  <c r="AD11" s="1"/>
  <c r="AD12"/>
  <c r="AC12"/>
  <c r="AD14"/>
  <c r="AC14"/>
  <c r="AC9" i="2"/>
  <c r="D9"/>
  <c r="V9" i="8"/>
  <c r="U9"/>
  <c r="AA7" i="2"/>
  <c r="Q12"/>
  <c r="Z11"/>
  <c r="AC15" i="8"/>
  <c r="AD15" s="1"/>
  <c r="W8"/>
  <c r="T10"/>
  <c r="B12" i="2"/>
  <c r="D26" i="5" s="1"/>
  <c r="E25" s="1"/>
  <c r="L11" i="1"/>
  <c r="AC10" i="8"/>
  <c r="AD10" s="1"/>
  <c r="AG15"/>
  <c r="AH15" s="1"/>
  <c r="AD44" l="1"/>
  <c r="AD47" s="1"/>
  <c r="T11"/>
  <c r="B13" i="2"/>
  <c r="D27" i="5" s="1"/>
  <c r="E26" s="1"/>
  <c r="L12" i="1"/>
  <c r="U10" i="8"/>
  <c r="W10" s="1"/>
  <c r="V10"/>
  <c r="P9" i="2"/>
  <c r="W9" i="8"/>
  <c r="AC10" i="2"/>
  <c r="D10"/>
  <c r="P10" s="1"/>
  <c r="AA10" s="1"/>
  <c r="Q13"/>
  <c r="Z12"/>
  <c r="AC44" i="8"/>
  <c r="AC47" s="1"/>
  <c r="AC11" i="2" l="1"/>
  <c r="D11"/>
  <c r="P11" s="1"/>
  <c r="AA11" s="1"/>
  <c r="AA9"/>
  <c r="AC12"/>
  <c r="D12"/>
  <c r="P12" s="1"/>
  <c r="AA12" s="1"/>
  <c r="Q14"/>
  <c r="Z13"/>
  <c r="T12" i="8"/>
  <c r="B14" i="2"/>
  <c r="D28" i="5" s="1"/>
  <c r="E27" s="1"/>
  <c r="L13" i="1"/>
  <c r="V11" i="8"/>
  <c r="U11"/>
  <c r="W11" s="1"/>
  <c r="AC13" i="2" l="1"/>
  <c r="D13"/>
  <c r="P13" s="1"/>
  <c r="AA13" s="1"/>
  <c r="T13" i="8"/>
  <c r="B15" i="2"/>
  <c r="D29" i="5" s="1"/>
  <c r="E28" s="1"/>
  <c r="L14" i="1"/>
  <c r="U12" i="8"/>
  <c r="V12"/>
  <c r="Q15" i="2"/>
  <c r="Z14"/>
  <c r="T14" i="8" l="1"/>
  <c r="B16" i="2"/>
  <c r="V13" i="8"/>
  <c r="W13" s="1"/>
  <c r="U13"/>
  <c r="T54"/>
  <c r="Q16" i="2"/>
  <c r="Z15"/>
  <c r="W12" i="8"/>
  <c r="AC14" i="2" l="1"/>
  <c r="D14"/>
  <c r="P14" s="1"/>
  <c r="Z16"/>
  <c r="Z25" s="1"/>
  <c r="Q25"/>
  <c r="AO3" i="8" s="1"/>
  <c r="AC15" i="2"/>
  <c r="D15"/>
  <c r="P15" s="1"/>
  <c r="AA15" s="1"/>
  <c r="U14" i="8"/>
  <c r="V14"/>
  <c r="D30" i="5"/>
  <c r="E29" s="1"/>
  <c r="E30" s="1"/>
  <c r="I15" i="4"/>
  <c r="AB18" i="2"/>
  <c r="D18" i="1" s="1"/>
  <c r="E18" i="2" s="1"/>
  <c r="E25" s="1"/>
  <c r="M7" i="3" s="1"/>
  <c r="T53" i="8"/>
  <c r="AC18" i="2" s="1"/>
  <c r="C18" i="1" s="1"/>
  <c r="D18" i="2" s="1"/>
  <c r="P18" l="1"/>
  <c r="AA18" s="1"/>
  <c r="AR22" i="8"/>
  <c r="AO16"/>
  <c r="M35" i="3"/>
  <c r="AQ3" i="8"/>
  <c r="AQ16" s="1"/>
  <c r="AQ18" s="1"/>
  <c r="AA14" i="2"/>
  <c r="W14" i="8"/>
  <c r="AC16" i="2" l="1"/>
  <c r="D16"/>
  <c r="AR21" i="8"/>
  <c r="AO18"/>
  <c r="AR2"/>
  <c r="AR17" l="1"/>
  <c r="AS17" s="1"/>
  <c r="AT17" s="1"/>
  <c r="AR3"/>
  <c r="AR16" s="1"/>
  <c r="AS3"/>
  <c r="AT3" s="1"/>
  <c r="AR23"/>
  <c r="AR24" s="1"/>
  <c r="AR25" s="1"/>
  <c r="P16" i="2"/>
  <c r="D25"/>
  <c r="M4" i="3" l="1"/>
  <c r="M9"/>
  <c r="AA16" i="2"/>
  <c r="AA25" s="1"/>
  <c r="P25"/>
  <c r="H7" i="3" s="1"/>
  <c r="I7" s="1"/>
  <c r="AR18" i="8"/>
  <c r="AS16"/>
  <c r="G9" i="3" l="1"/>
  <c r="M5"/>
  <c r="E11" i="1"/>
  <c r="AS18" i="8"/>
  <c r="AT16"/>
  <c r="AT18" s="1"/>
  <c r="AO35"/>
  <c r="H20" i="4"/>
  <c r="BR4" i="8"/>
  <c r="M40" i="3"/>
  <c r="AO31" i="8" l="1"/>
  <c r="AT31" s="1"/>
  <c r="BR10"/>
  <c r="BF4"/>
  <c r="BF3"/>
  <c r="V3" i="1"/>
  <c r="AA3" s="1"/>
  <c r="H23" i="4"/>
  <c r="I20"/>
  <c r="G10" i="3"/>
  <c r="M8"/>
  <c r="M10" s="1"/>
  <c r="AO29" i="8" s="1"/>
  <c r="AT29" s="1"/>
  <c r="D10" i="3"/>
  <c r="AT34" i="8"/>
  <c r="AO36" l="1"/>
  <c r="BR6"/>
  <c r="BF13"/>
  <c r="BF22" s="1"/>
  <c r="BG4"/>
  <c r="Y9" i="1"/>
  <c r="AA9" s="1"/>
  <c r="BM29" i="8"/>
  <c r="AA5" i="1"/>
  <c r="J23" i="4"/>
  <c r="I23"/>
  <c r="BF12" i="8"/>
  <c r="BF21" s="1"/>
  <c r="BG3"/>
  <c r="Y8" i="1"/>
  <c r="BF6" i="8"/>
  <c r="BF5"/>
  <c r="BF7"/>
  <c r="BF16" l="1"/>
  <c r="BF25" s="1"/>
  <c r="BG7"/>
  <c r="Y12" i="1"/>
  <c r="AA12" s="1"/>
  <c r="BF15" i="8"/>
  <c r="BF24" s="1"/>
  <c r="BG6"/>
  <c r="Y11" i="1"/>
  <c r="AA11" s="1"/>
  <c r="BM32" i="8"/>
  <c r="BM31"/>
  <c r="AA14" i="1" s="1"/>
  <c r="BG13" i="8"/>
  <c r="BG22" s="1"/>
  <c r="BA32"/>
  <c r="BF14"/>
  <c r="BF23" s="1"/>
  <c r="BG5"/>
  <c r="BG8" s="1"/>
  <c r="Y10" i="1"/>
  <c r="AA10" s="1"/>
  <c r="AA8"/>
  <c r="AA13" s="1"/>
  <c r="AA15" s="1"/>
  <c r="BF8" i="8"/>
  <c r="BF17" s="1"/>
  <c r="BF26" s="1"/>
  <c r="BG12"/>
  <c r="BG21" s="1"/>
  <c r="BA31"/>
  <c r="V4" i="1"/>
  <c r="BR11" i="8"/>
  <c r="AO38" l="1"/>
  <c r="BM30"/>
  <c r="BG17"/>
  <c r="BG26" s="1"/>
  <c r="BG29"/>
  <c r="AZ22"/>
  <c r="BB20"/>
  <c r="BH29"/>
  <c r="BF29"/>
  <c r="AZ14"/>
  <c r="BA14" s="1"/>
  <c r="AZ12"/>
  <c r="BB11"/>
  <c r="AZ13"/>
  <c r="BA13" s="1"/>
  <c r="AZ3"/>
  <c r="BH2"/>
  <c r="BB2"/>
  <c r="V5" i="1"/>
  <c r="BG16" i="8"/>
  <c r="BG25" s="1"/>
  <c r="BA35"/>
  <c r="BG15"/>
  <c r="BG24" s="1"/>
  <c r="BA34"/>
  <c r="BA36" s="1"/>
  <c r="Y13" i="1"/>
  <c r="BG14" i="8"/>
  <c r="BG23" s="1"/>
  <c r="BA33"/>
  <c r="BB4" l="1"/>
  <c r="BB3"/>
  <c r="BA3"/>
  <c r="T8" i="1"/>
  <c r="BB12" i="8"/>
  <c r="BB13"/>
  <c r="BA22"/>
  <c r="BH11"/>
  <c r="BH20" s="1"/>
  <c r="BH4"/>
  <c r="BH13" s="1"/>
  <c r="BH3"/>
  <c r="BH12" s="1"/>
  <c r="BH21" s="1"/>
  <c r="AZ17"/>
  <c r="BB14" s="1"/>
  <c r="BA12"/>
  <c r="BA17" s="1"/>
  <c r="BF32"/>
  <c r="BF31"/>
  <c r="BL31" s="1"/>
  <c r="V14" i="1" s="1"/>
  <c r="BL29" i="8"/>
  <c r="BJ29" s="1"/>
  <c r="BB22"/>
  <c r="BB21"/>
  <c r="AZ5"/>
  <c r="AZ4"/>
  <c r="AZ23"/>
  <c r="BA23" s="1"/>
  <c r="BH32"/>
  <c r="BH31"/>
  <c r="BG32"/>
  <c r="BG31"/>
  <c r="BA5" l="1"/>
  <c r="T10" i="1"/>
  <c r="V10" s="1"/>
  <c r="BA4" i="8"/>
  <c r="T9" i="1"/>
  <c r="V9" s="1"/>
  <c r="BL32" i="8"/>
  <c r="BJ32" s="1"/>
  <c r="BH22"/>
  <c r="BH5"/>
  <c r="V8" i="1"/>
  <c r="T13"/>
  <c r="BA26" i="8"/>
  <c r="AZ8"/>
  <c r="BB5" s="1"/>
  <c r="BG30"/>
  <c r="BB15"/>
  <c r="BG33" s="1"/>
  <c r="BG34" s="1"/>
  <c r="AZ26"/>
  <c r="BB23" s="1"/>
  <c r="BA8"/>
  <c r="BM33" l="1"/>
  <c r="BH14"/>
  <c r="BH23" s="1"/>
  <c r="BG35"/>
  <c r="BG36"/>
  <c r="BH30"/>
  <c r="BB24"/>
  <c r="BH33" s="1"/>
  <c r="BH34" s="1"/>
  <c r="V13" i="1"/>
  <c r="V15" s="1"/>
  <c r="BF30" i="8"/>
  <c r="BM25"/>
  <c r="BK25"/>
  <c r="BN24"/>
  <c r="BL24"/>
  <c r="BJ24"/>
  <c r="BN23"/>
  <c r="BL23"/>
  <c r="BJ23"/>
  <c r="BN22"/>
  <c r="BL22"/>
  <c r="BJ22"/>
  <c r="BM21"/>
  <c r="BK21"/>
  <c r="BN20"/>
  <c r="BL20"/>
  <c r="BJ20"/>
  <c r="BL25"/>
  <c r="BK24"/>
  <c r="BM23"/>
  <c r="BM22"/>
  <c r="BN21"/>
  <c r="BJ21"/>
  <c r="BK20"/>
  <c r="BN16"/>
  <c r="BL16"/>
  <c r="BJ16"/>
  <c r="BN15"/>
  <c r="BL15"/>
  <c r="BJ15"/>
  <c r="BN14"/>
  <c r="BL14"/>
  <c r="BJ14"/>
  <c r="BM13"/>
  <c r="BK13"/>
  <c r="BN12"/>
  <c r="BL12"/>
  <c r="BJ12"/>
  <c r="BN11"/>
  <c r="BL11"/>
  <c r="BJ11"/>
  <c r="BN25"/>
  <c r="BJ25"/>
  <c r="BM24"/>
  <c r="BK23"/>
  <c r="BK22"/>
  <c r="BL21"/>
  <c r="BM20"/>
  <c r="BM16"/>
  <c r="BK16"/>
  <c r="BM15"/>
  <c r="BK15"/>
  <c r="BM14"/>
  <c r="BK14"/>
  <c r="BN13"/>
  <c r="BL13"/>
  <c r="BJ13"/>
  <c r="BM12"/>
  <c r="BK12"/>
  <c r="BM11"/>
  <c r="BK11"/>
  <c r="BN7"/>
  <c r="BB35" s="1"/>
  <c r="BL7"/>
  <c r="AZ35" s="1"/>
  <c r="F56" i="3" s="1"/>
  <c r="BJ7" i="8"/>
  <c r="AX35" s="1"/>
  <c r="E56" i="3" s="1"/>
  <c r="BN6" i="8"/>
  <c r="BB34" s="1"/>
  <c r="BL6"/>
  <c r="AZ34" s="1"/>
  <c r="F55" i="3" s="1"/>
  <c r="BJ6" i="8"/>
  <c r="AX34" s="1"/>
  <c r="E55" i="3" s="1"/>
  <c r="BN5" i="8"/>
  <c r="BB33" s="1"/>
  <c r="BL5"/>
  <c r="AZ33" s="1"/>
  <c r="F54" i="3" s="1"/>
  <c r="BJ5" i="8"/>
  <c r="AX33" s="1"/>
  <c r="E54" i="3" s="1"/>
  <c r="BN4" i="8"/>
  <c r="BB32" s="1"/>
  <c r="BL4"/>
  <c r="AZ32" s="1"/>
  <c r="F53" i="3" s="1"/>
  <c r="BJ4" i="8"/>
  <c r="AX32" s="1"/>
  <c r="E53" i="3" s="1"/>
  <c r="BN3" i="8"/>
  <c r="BB31" s="1"/>
  <c r="BL3"/>
  <c r="AZ31" s="1"/>
  <c r="F52" i="3" s="1"/>
  <c r="BM7" i="8"/>
  <c r="BM6"/>
  <c r="BM5"/>
  <c r="BM4"/>
  <c r="BM3"/>
  <c r="BJ3"/>
  <c r="AX31" s="1"/>
  <c r="E52" i="3" s="1"/>
  <c r="BM2" i="8"/>
  <c r="BK2"/>
  <c r="AY30" s="1"/>
  <c r="G51" i="3" s="1"/>
  <c r="BK7" i="8"/>
  <c r="AY35" s="1"/>
  <c r="G56" i="3" s="1"/>
  <c r="BK6" i="8"/>
  <c r="AY34" s="1"/>
  <c r="G55" i="3" s="1"/>
  <c r="BB6" i="8"/>
  <c r="BF33" s="1"/>
  <c r="BK5"/>
  <c r="AY33" s="1"/>
  <c r="G54" i="3" s="1"/>
  <c r="BK4" i="8"/>
  <c r="AY32" s="1"/>
  <c r="G53" i="3" s="1"/>
  <c r="BK3" i="8"/>
  <c r="AY31" s="1"/>
  <c r="G52" i="3" s="1"/>
  <c r="BN2" i="8"/>
  <c r="BB30" s="1"/>
  <c r="BL2"/>
  <c r="BJ2"/>
  <c r="AX30" s="1"/>
  <c r="E51" i="3" s="1"/>
  <c r="AO37" i="8"/>
  <c r="BL8" l="1"/>
  <c r="BL17" s="1"/>
  <c r="BL26" s="1"/>
  <c r="AZ30"/>
  <c r="BL33"/>
  <c r="BJ33" s="1"/>
  <c r="BF34"/>
  <c r="BL34" s="1"/>
  <c r="BH35"/>
  <c r="BH36" s="1"/>
  <c r="BM34"/>
  <c r="BM35"/>
  <c r="BM8"/>
  <c r="BM17" s="1"/>
  <c r="BM26" s="1"/>
  <c r="H53" i="3"/>
  <c r="H55"/>
  <c r="BF36" i="8"/>
  <c r="BF35"/>
  <c r="BL35" s="1"/>
  <c r="BL30"/>
  <c r="H52" i="3"/>
  <c r="H54"/>
  <c r="H56"/>
  <c r="I17" i="1" l="1"/>
  <c r="BL36" i="8"/>
  <c r="BJ34"/>
  <c r="I60" i="3" s="1"/>
  <c r="V16" i="1"/>
  <c r="AZ36" i="8"/>
  <c r="F51" i="3"/>
  <c r="H51" s="1"/>
  <c r="H57" s="1"/>
  <c r="I57" s="1"/>
  <c r="J3" i="5" s="1"/>
  <c r="AA16" i="1"/>
  <c r="BM36" i="8"/>
  <c r="I18" i="1" s="1"/>
  <c r="BJ35" i="8"/>
  <c r="I61" i="3" s="1"/>
  <c r="J7" i="5" s="1"/>
  <c r="AA17" i="1" l="1"/>
  <c r="AA18"/>
  <c r="J6" i="5"/>
  <c r="F60" i="3"/>
  <c r="C6" i="5" s="1"/>
  <c r="J17" i="1"/>
  <c r="V17"/>
  <c r="V18" s="1"/>
  <c r="BJ36" i="8"/>
  <c r="BN36" s="1"/>
  <c r="AY29" l="1"/>
  <c r="B2" i="2"/>
  <c r="BJ31" i="8" l="1"/>
  <c r="BJ30"/>
  <c r="E2" i="4"/>
  <c r="H15" i="3"/>
  <c r="H29" i="4" s="1"/>
  <c r="G2" i="3"/>
  <c r="R21" i="1"/>
  <c r="G3" i="5"/>
  <c r="BN33" i="8"/>
  <c r="AU33"/>
  <c r="H16" i="3" s="1"/>
  <c r="H30" i="4" s="1"/>
  <c r="I30" s="1"/>
  <c r="AU30" i="8"/>
  <c r="H14" i="3" s="1"/>
  <c r="AU27" i="8"/>
  <c r="H47" i="3" s="1"/>
  <c r="AU21" i="8"/>
  <c r="H41" i="3" s="1"/>
  <c r="AU25" i="8"/>
  <c r="H45" i="3" s="1"/>
  <c r="AU24" i="8"/>
  <c r="H44" i="3" s="1"/>
  <c r="AU23" i="8"/>
  <c r="H43" i="3" s="1"/>
  <c r="AU22" i="8"/>
  <c r="H42" i="3" s="1"/>
  <c r="AU16" i="8"/>
  <c r="AU13"/>
  <c r="H33" i="3" s="1"/>
  <c r="AU11" i="8"/>
  <c r="H31" i="3" s="1"/>
  <c r="AU29" i="8"/>
  <c r="I11" i="3" s="1"/>
  <c r="AU26" i="8"/>
  <c r="H46" i="3" s="1"/>
  <c r="AU18" i="8"/>
  <c r="AU17"/>
  <c r="AU15"/>
  <c r="H35" i="3" s="1"/>
  <c r="AU14" i="8"/>
  <c r="H34" i="3" s="1"/>
  <c r="AU12" i="8"/>
  <c r="H32" i="3" s="1"/>
  <c r="AU9" i="8"/>
  <c r="H29" i="3" s="1"/>
  <c r="AU8" i="8"/>
  <c r="H28" i="3" s="1"/>
  <c r="AU6" i="8"/>
  <c r="H26" i="3" s="1"/>
  <c r="AU10" i="8"/>
  <c r="H30" i="3" s="1"/>
  <c r="C51"/>
  <c r="D57" s="1"/>
  <c r="H11"/>
  <c r="AU7" i="8"/>
  <c r="H27" i="3" s="1"/>
  <c r="AU5" i="8"/>
  <c r="H25" i="3" s="1"/>
  <c r="AU4" i="8"/>
  <c r="H24" i="3" s="1"/>
  <c r="AU3" i="8"/>
  <c r="H10" i="3"/>
  <c r="H9"/>
  <c r="F31" i="7" l="1"/>
  <c r="G31" s="1"/>
  <c r="H42" i="4"/>
  <c r="I42" s="1"/>
  <c r="H45"/>
  <c r="I45" s="1"/>
  <c r="F34" i="7"/>
  <c r="G34" s="1"/>
  <c r="F41"/>
  <c r="G41" s="1"/>
  <c r="H52" i="4"/>
  <c r="I52" s="1"/>
  <c r="H25"/>
  <c r="B66" i="3"/>
  <c r="M41"/>
  <c r="I12"/>
  <c r="F44" i="7"/>
  <c r="G44" s="1"/>
  <c r="H60" i="4"/>
  <c r="I60" s="1"/>
  <c r="F46" i="7"/>
  <c r="G46" s="1"/>
  <c r="H62" i="4"/>
  <c r="I62" s="1"/>
  <c r="J62" s="1"/>
  <c r="I16" i="3"/>
  <c r="M43" s="1"/>
  <c r="H26" i="4"/>
  <c r="I26" s="1"/>
  <c r="I29"/>
  <c r="J31"/>
  <c r="H41"/>
  <c r="I41" s="1"/>
  <c r="F30" i="7"/>
  <c r="G30" s="1"/>
  <c r="F33"/>
  <c r="G33" s="1"/>
  <c r="H44" i="4"/>
  <c r="I44" s="1"/>
  <c r="H43"/>
  <c r="I43" s="1"/>
  <c r="F32" i="7"/>
  <c r="G32" s="1"/>
  <c r="F35"/>
  <c r="G35" s="1"/>
  <c r="H46" i="4"/>
  <c r="I46" s="1"/>
  <c r="H51"/>
  <c r="I51" s="1"/>
  <c r="F40" i="7"/>
  <c r="G40" s="1"/>
  <c r="M37" i="3"/>
  <c r="H37"/>
  <c r="F48" i="7"/>
  <c r="G48" s="1"/>
  <c r="H64" i="4"/>
  <c r="I64" s="1"/>
  <c r="F37" i="7"/>
  <c r="G37" s="1"/>
  <c r="H48" i="4"/>
  <c r="I48" s="1"/>
  <c r="F45" i="7"/>
  <c r="G45" s="1"/>
  <c r="H61" i="4"/>
  <c r="I61" s="1"/>
  <c r="H63"/>
  <c r="I63" s="1"/>
  <c r="F47" i="7"/>
  <c r="G47" s="1"/>
  <c r="H65" i="4"/>
  <c r="I65" s="1"/>
  <c r="F49" i="7"/>
  <c r="G49" s="1"/>
  <c r="H63" i="3"/>
  <c r="I58"/>
  <c r="J4" i="5" s="1"/>
  <c r="J5" s="1"/>
  <c r="J8" s="1"/>
  <c r="M36" i="3"/>
  <c r="H23"/>
  <c r="H47" i="4"/>
  <c r="I47" s="1"/>
  <c r="F36" i="7"/>
  <c r="G36" s="1"/>
  <c r="H49" i="4"/>
  <c r="I49" s="1"/>
  <c r="F38" i="7"/>
  <c r="G38" s="1"/>
  <c r="F39"/>
  <c r="G39" s="1"/>
  <c r="H50" i="4"/>
  <c r="I50" s="1"/>
  <c r="I48" i="3"/>
  <c r="M47" s="1"/>
  <c r="F43" i="7"/>
  <c r="G43" s="1"/>
  <c r="H59" i="4"/>
  <c r="I17" i="3" l="1"/>
  <c r="I21" s="1"/>
  <c r="F50" i="7"/>
  <c r="G50" s="1"/>
  <c r="I37" i="3"/>
  <c r="O19" i="1" s="1"/>
  <c r="H54" i="4"/>
  <c r="I54" s="1"/>
  <c r="J54" s="1"/>
  <c r="H66"/>
  <c r="I66" s="1"/>
  <c r="J66" s="1"/>
  <c r="I59"/>
  <c r="I63" i="3"/>
  <c r="F63"/>
  <c r="J9" i="5"/>
  <c r="J10" s="1"/>
  <c r="I25" i="4"/>
  <c r="J26"/>
  <c r="J27" s="1"/>
  <c r="J32" s="1"/>
  <c r="J37" s="1"/>
  <c r="F29" i="7"/>
  <c r="G29" s="1"/>
  <c r="H40" i="4"/>
  <c r="H36" i="3"/>
  <c r="I36" s="1"/>
  <c r="O17" i="1" s="1"/>
  <c r="M44" i="3" l="1"/>
  <c r="O16" i="1"/>
  <c r="M45" i="3"/>
  <c r="O18" i="1"/>
  <c r="I40" i="4"/>
  <c r="H53"/>
  <c r="I53" s="1"/>
  <c r="J53" s="1"/>
  <c r="J56" s="1"/>
  <c r="J67" s="1"/>
  <c r="H68" s="1"/>
  <c r="I39" i="3"/>
  <c r="I49" s="1"/>
  <c r="I59" l="1"/>
  <c r="F58"/>
  <c r="E4" i="5" s="1"/>
  <c r="J68" i="4"/>
  <c r="J2" i="5" s="1"/>
  <c r="M48" i="3"/>
  <c r="M49" s="1"/>
  <c r="J57" i="4"/>
  <c r="H57"/>
  <c r="L21" i="1"/>
  <c r="F62" i="3" l="1"/>
  <c r="I62"/>
  <c r="G61"/>
  <c r="I65" l="1"/>
  <c r="C32" i="5"/>
  <c r="K61" i="3"/>
  <c r="D32" i="5" l="1"/>
  <c r="C34"/>
  <c r="J13"/>
  <c r="H65" i="3"/>
  <c r="E13" i="5" s="1"/>
</calcChain>
</file>

<file path=xl/sharedStrings.xml><?xml version="1.0" encoding="utf-8"?>
<sst xmlns="http://schemas.openxmlformats.org/spreadsheetml/2006/main" count="850" uniqueCount="592">
  <si>
    <r>
      <rPr>
        <b/>
        <sz val="15"/>
        <rFont val="Nirmala UI"/>
      </rPr>
      <t>INCOMETAX 2024-25 (A.P.)</t>
    </r>
    <r>
      <rPr>
        <b/>
        <sz val="12"/>
        <rFont val="Nirmala UI"/>
      </rPr>
      <t xml:space="preserve">
</t>
    </r>
    <r>
      <rPr>
        <b/>
        <sz val="12"/>
        <color rgb="FFFFFF00"/>
        <rFont val="Nirmala UI"/>
      </rPr>
      <t xml:space="preserve">V1.0 </t>
    </r>
    <r>
      <rPr>
        <b/>
        <sz val="12"/>
        <rFont val="Nirmala UI"/>
      </rPr>
      <t xml:space="preserve"> (Use By : Only MS EXCEL)</t>
    </r>
  </si>
  <si>
    <t>SAVINGS u/s 80C</t>
  </si>
  <si>
    <t>Rs. ↓</t>
  </si>
  <si>
    <t>MONTH
YEAR</t>
  </si>
  <si>
    <t>ADV.
TAX</t>
  </si>
  <si>
    <t>P.H.
Allow</t>
  </si>
  <si>
    <t>Other
Allow</t>
  </si>
  <si>
    <t>Other
Ded's</t>
  </si>
  <si>
    <r>
      <rPr>
        <b/>
        <sz val="14"/>
        <color rgb="FFFF0066"/>
        <rFont val="Nirmala UI"/>
      </rPr>
      <t>MARCH-2025</t>
    </r>
    <r>
      <rPr>
        <b/>
        <sz val="14"/>
        <rFont val="Nirmala UI"/>
      </rPr>
      <t xml:space="preserve"> BP</t>
    </r>
    <r>
      <rPr>
        <b/>
        <sz val="11"/>
        <rFont val="Nirmala UI"/>
      </rPr>
      <t xml:space="preserve">
</t>
    </r>
    <r>
      <rPr>
        <b/>
        <sz val="12"/>
        <rFont val="Nirmala UI"/>
      </rPr>
      <t>(without A.G.I.)</t>
    </r>
  </si>
  <si>
    <t>LIC PREMIUMS (BY HAND)</t>
  </si>
  <si>
    <t>GROSS INCOME</t>
  </si>
  <si>
    <t>→</t>
  </si>
  <si>
    <t>POSTAL LIFE INSURANCE</t>
  </si>
  <si>
    <t>ELIGIBLE DEDUCTIONS</t>
  </si>
  <si>
    <t>SELECT PF TYPE
(G.P.F. or C.P.S.)</t>
  </si>
  <si>
    <t>GPF</t>
  </si>
  <si>
    <t>SUKANYA SAMRIDHI YOJANA</t>
  </si>
  <si>
    <t>NET TAXABLE INCOME</t>
  </si>
  <si>
    <t>SBI LIFE INSURANCE</t>
  </si>
  <si>
    <t>SLABS</t>
  </si>
  <si>
    <t>INCOME</t>
  </si>
  <si>
    <t>%</t>
  </si>
  <si>
    <t>TAX</t>
  </si>
  <si>
    <r>
      <rPr>
        <sz val="10"/>
        <rFont val="Nirmala UI"/>
      </rPr>
      <t xml:space="preserve">Feb Increment వాళ్ళు </t>
    </r>
    <r>
      <rPr>
        <b/>
        <sz val="12"/>
        <rFont val="Nirmala UI"/>
      </rPr>
      <t>FEB-2025</t>
    </r>
    <r>
      <rPr>
        <sz val="10"/>
        <rFont val="Nirmala UI"/>
      </rPr>
      <t xml:space="preserve"> Select చెయ్యండి.</t>
    </r>
  </si>
  <si>
    <t>PUBLIC PROVIDENT FUND</t>
  </si>
  <si>
    <t>SLAB 1</t>
  </si>
  <si>
    <t>A.G.I. @ 2024-2025</t>
  </si>
  <si>
    <t>TUTION FEE FOR CHILDREN</t>
  </si>
  <si>
    <t>SLAB 2</t>
  </si>
  <si>
    <t>A.A.S. Month &amp; Date</t>
  </si>
  <si>
    <t>HOME LOAN PRINCIPLE AMOUNT</t>
  </si>
  <si>
    <t>SLAB 3</t>
  </si>
  <si>
    <t>Surrender Leave : 2024-25</t>
  </si>
  <si>
    <t>N.A.</t>
  </si>
  <si>
    <t xml:space="preserve">STAMP DUTY &amp; REGISTRATION </t>
  </si>
  <si>
    <t>SLAB 4</t>
  </si>
  <si>
    <t>SUGGESTED RENT ➠</t>
  </si>
  <si>
    <t>(Maximum)</t>
  </si>
  <si>
    <t>HDFC LIFE INSURANCE</t>
  </si>
  <si>
    <t>SLAB 5</t>
  </si>
  <si>
    <t>-</t>
  </si>
  <si>
    <t>ENTER Ur RENT HERE</t>
  </si>
  <si>
    <t>Own House = 0</t>
  </si>
  <si>
    <t>OTHERS_________________</t>
  </si>
  <si>
    <t>SLAB 6</t>
  </si>
  <si>
    <t>NUMBER OF MONTHS</t>
  </si>
  <si>
    <t>(Rent Paid)</t>
  </si>
  <si>
    <t>CPS SELF CONTRIBUTION u/s 80CCD 1B</t>
  </si>
  <si>
    <t>TOTAL</t>
  </si>
  <si>
    <t>ENTER Ur D.O.B. HERE</t>
  </si>
  <si>
    <t>DD-MM-YYYY</t>
  </si>
  <si>
    <t>CPS DEDUCTION SPLIT  ::  u/s 80CCD 1B</t>
  </si>
  <si>
    <t>YES</t>
  </si>
  <si>
    <t>LESS : Tax Rebate (87A)</t>
  </si>
  <si>
    <t>TAX After Tax Rebate</t>
  </si>
  <si>
    <t>80C SAVINGS TOTAL</t>
  </si>
  <si>
    <t>ADD : SURCHARGE</t>
  </si>
  <si>
    <t>AAS BP</t>
  </si>
  <si>
    <t>AAS DA</t>
  </si>
  <si>
    <t xml:space="preserve">AAS HRA </t>
  </si>
  <si>
    <t>OLD   REGIME TAX ➠</t>
  </si>
  <si>
    <t>YOU CAN INCREASE →</t>
  </si>
  <si>
    <t xml:space="preserve">ADD : CESS </t>
  </si>
  <si>
    <t>NEW  REGIME TAX ➠</t>
  </si>
  <si>
    <t>Regime is
the BEST</t>
  </si>
  <si>
    <t>80CCD SAVINGS TOTAL</t>
  </si>
  <si>
    <t>TOTAL TAX LIABILITY</t>
  </si>
  <si>
    <t>SELECT Ur OPTION ➠</t>
  </si>
  <si>
    <t>AUTO</t>
  </si>
  <si>
    <t>AAS Arrears Automated Values లలో CHANGES
ఉంటే వాటి కింద మీ  Values Enter చెయ్యండి</t>
  </si>
  <si>
    <r>
      <rPr>
        <sz val="12"/>
        <rFont val="Nirmala UI"/>
      </rPr>
      <t>➠</t>
    </r>
    <r>
      <rPr>
        <sz val="9"/>
        <rFont val="Segoe UI Symbol"/>
      </rPr>
      <t xml:space="preserve"> </t>
    </r>
    <r>
      <rPr>
        <sz val="9"/>
        <rFont val="Nirmala UI"/>
      </rPr>
      <t xml:space="preserve">Would you like to add </t>
    </r>
    <r>
      <rPr>
        <b/>
        <sz val="11"/>
        <rFont val="Nirmala UI"/>
      </rPr>
      <t>Employer's</t>
    </r>
    <r>
      <rPr>
        <sz val="9"/>
        <rFont val="Nirmala UI"/>
      </rPr>
      <t xml:space="preserve"> </t>
    </r>
    <r>
      <rPr>
        <b/>
        <sz val="10"/>
        <rFont val="Nirmala UI"/>
      </rPr>
      <t>Contribution</t>
    </r>
    <r>
      <rPr>
        <sz val="9"/>
        <rFont val="Nirmala UI"/>
      </rPr>
      <t xml:space="preserve"> towards NPS to your GROSS</t>
    </r>
  </si>
  <si>
    <t>NO</t>
  </si>
  <si>
    <t>ఈ FILE ను  MS EXCEL లో మాత్రమే USE చెయ్యాలి.
WPS/Google Sheets లలో USE చెయ్యకూడదు.</t>
  </si>
  <si>
    <t>Allowances
and
Deductions</t>
  </si>
  <si>
    <r>
      <rPr>
        <b/>
        <sz val="8"/>
        <rFont val="Nirmala UI"/>
      </rPr>
      <t xml:space="preserve">AS ON
MARCH
</t>
    </r>
    <r>
      <rPr>
        <b/>
        <sz val="10"/>
        <rFont val="Nirmala UI"/>
      </rPr>
      <t>2024</t>
    </r>
  </si>
  <si>
    <r>
      <rPr>
        <sz val="8"/>
        <rFont val="Nirmala UI"/>
      </rPr>
      <t xml:space="preserve">IF CHANGED
SELECT
</t>
    </r>
    <r>
      <rPr>
        <sz val="8"/>
        <rFont val="Calibri"/>
      </rPr>
      <t>↓</t>
    </r>
    <r>
      <rPr>
        <sz val="8"/>
        <rFont val="Nirmala UI"/>
      </rPr>
      <t>MONTH</t>
    </r>
    <r>
      <rPr>
        <sz val="8"/>
        <rFont val="Calibri"/>
      </rPr>
      <t>↓</t>
    </r>
  </si>
  <si>
    <t>ENTER
CHANGED
DEDUCTION</t>
  </si>
  <si>
    <t>INCOME FROM OTHER SOURCES and
HOUSING &amp; EDUCATIONAL LOANs</t>
  </si>
  <si>
    <t>EMPLOYEE DETAILS</t>
  </si>
  <si>
    <t>DDO (EMPLOYER) DETAILS</t>
  </si>
  <si>
    <t>Owner Details for RENT RECEIPT</t>
  </si>
  <si>
    <t>HMA+FPA</t>
  </si>
  <si>
    <t>NO CHANGE</t>
  </si>
  <si>
    <t>CHILD Tution FEE CONCESSION (as income)</t>
  </si>
  <si>
    <t xml:space="preserve">Sri.  </t>
  </si>
  <si>
    <t>PERUMALLA RAMANJANEYULU</t>
  </si>
  <si>
    <t>Sri.</t>
  </si>
  <si>
    <t>G.SOMA SEKHAR</t>
  </si>
  <si>
    <t>C.C.A.</t>
  </si>
  <si>
    <r>
      <rPr>
        <sz val="9"/>
        <rFont val="Nirmala UI"/>
      </rPr>
      <t xml:space="preserve">Medical REIMBURSEMENT Claims </t>
    </r>
    <r>
      <rPr>
        <sz val="8"/>
        <rFont val="Nirmala UI"/>
      </rPr>
      <t>(as income)</t>
    </r>
  </si>
  <si>
    <t>Designation</t>
  </si>
  <si>
    <t>SECONDARY GRADE TEACHER</t>
  </si>
  <si>
    <t>MANDAL EDUCATIONAL OFFICER</t>
  </si>
  <si>
    <t>House No.</t>
  </si>
  <si>
    <t>H.C.A.</t>
  </si>
  <si>
    <t>INCOME FROM OTHER SOURCES</t>
  </si>
  <si>
    <t>TREASURY ID</t>
  </si>
  <si>
    <t>DDO TAN</t>
  </si>
  <si>
    <t>HYDM08185C</t>
  </si>
  <si>
    <t>STREET</t>
  </si>
  <si>
    <t>UNIFORM</t>
  </si>
  <si>
    <t>INCOME FROM FAMILY PENSION</t>
  </si>
  <si>
    <t>EMP PAN</t>
  </si>
  <si>
    <t>MYPAN1234S</t>
  </si>
  <si>
    <t>DDO PAN</t>
  </si>
  <si>
    <t>TOWN</t>
  </si>
  <si>
    <t>DHOBI</t>
  </si>
  <si>
    <t>INCOME/Loss FROM HOUSE PROPERTY</t>
  </si>
  <si>
    <t>EMP.OFFICE</t>
  </si>
  <si>
    <t>M.P.P.SCHOOL</t>
  </si>
  <si>
    <r>
      <rPr>
        <sz val="10"/>
        <rFont val="Nirmala UI"/>
      </rPr>
      <t xml:space="preserve">DDO </t>
    </r>
    <r>
      <rPr>
        <sz val="9"/>
        <rFont val="Nirmala UI"/>
      </rPr>
      <t>Office</t>
    </r>
  </si>
  <si>
    <t>MANDAL RESOURCE CENTER</t>
  </si>
  <si>
    <t>MANDAL</t>
  </si>
  <si>
    <t>GPF/ZPPF</t>
  </si>
  <si>
    <t>Deduction for DISABLED (SELF) u/s 80U</t>
  </si>
  <si>
    <t>VILLAGE</t>
  </si>
  <si>
    <t>RAHIMANPURAM</t>
  </si>
  <si>
    <t>BETHAMCHERLA</t>
  </si>
  <si>
    <t>DISTRICT</t>
  </si>
  <si>
    <t>APGLI</t>
  </si>
  <si>
    <r>
      <rPr>
        <sz val="9"/>
        <rFont val="Nirmala UI"/>
      </rPr>
      <t xml:space="preserve">MEDICAL INSURANCE PREMIUM  </t>
    </r>
    <r>
      <rPr>
        <sz val="8"/>
        <rFont val="Nirmala UI"/>
      </rPr>
      <t>(PERSONAL)</t>
    </r>
  </si>
  <si>
    <r>
      <rPr>
        <sz val="10"/>
        <rFont val="Nirmala UI"/>
      </rPr>
      <t xml:space="preserve">Owner </t>
    </r>
    <r>
      <rPr>
        <sz val="9"/>
        <rFont val="Nirmala UI"/>
      </rPr>
      <t>PAN</t>
    </r>
  </si>
  <si>
    <t>GIS</t>
  </si>
  <si>
    <r>
      <rPr>
        <sz val="9"/>
        <color rgb="FF3507DF"/>
        <rFont val="Nirmala UI"/>
      </rPr>
      <t xml:space="preserve">Interest on Housing Loan Advance U/s </t>
    </r>
    <r>
      <rPr>
        <b/>
        <sz val="9"/>
        <color rgb="FF3507DF"/>
        <rFont val="Nirmala UI"/>
      </rPr>
      <t>24B</t>
    </r>
    <r>
      <rPr>
        <sz val="9"/>
        <color rgb="FF3507DF"/>
        <rFont val="Nirmala UI"/>
      </rPr>
      <t xml:space="preserve">  </t>
    </r>
  </si>
  <si>
    <t>NANDYAL</t>
  </si>
  <si>
    <t>P.TAX</t>
  </si>
  <si>
    <t xml:space="preserve">Interest on Educational Loan U/s 80E  </t>
  </si>
  <si>
    <t>APGLI No.</t>
  </si>
  <si>
    <t>L-123456</t>
  </si>
  <si>
    <r>
      <rPr>
        <b/>
        <sz val="12"/>
        <rFont val="Nirmala UI"/>
      </rPr>
      <t>This is useful only to A.P. Govt. Employees.</t>
    </r>
  </si>
  <si>
    <t>E.H.F.(E.H.S)</t>
  </si>
  <si>
    <t>DONATIONS OF CHARITABLE TRUST u/s 80G</t>
  </si>
  <si>
    <t>S.S.S.(L.I.C.)</t>
  </si>
  <si>
    <t>E.W.F. ►►</t>
  </si>
  <si>
    <t>S.W.F. ►►</t>
  </si>
  <si>
    <t>A.G.I. @ 2021</t>
  </si>
  <si>
    <r>
      <rPr>
        <sz val="12"/>
        <rFont val="Nirmala UI"/>
      </rPr>
      <t xml:space="preserve">ఇది ఆంధ్రప్రదేశ్ ప్రభుత్వ ఉద్యోగులకు
</t>
    </r>
    <r>
      <rPr>
        <b/>
        <sz val="12"/>
        <color rgb="FF3333FF"/>
        <rFont val="Nirmala UI"/>
      </rPr>
      <t>2024-25</t>
    </r>
    <r>
      <rPr>
        <b/>
        <sz val="12"/>
        <rFont val="Nirmala UI"/>
      </rPr>
      <t xml:space="preserve"> </t>
    </r>
    <r>
      <rPr>
        <sz val="12"/>
        <rFont val="Nirmala UI"/>
      </rPr>
      <t>ఆర్ధిక సంవత్సరానికి సంబంధించిన
ఆదాయపు పన్నును లెక్కించుకోవడానికి
ఉపయోగపడుతుంది. ఏవైన</t>
    </r>
    <r>
      <rPr>
        <b/>
        <sz val="12"/>
        <color rgb="FFFF0000"/>
        <rFont val="Nirmala UI"/>
      </rPr>
      <t xml:space="preserve"> ERRORS ఉంటే</t>
    </r>
    <r>
      <rPr>
        <sz val="12"/>
        <rFont val="Nirmala UI"/>
      </rPr>
      <t xml:space="preserve"> </t>
    </r>
    <r>
      <rPr>
        <b/>
        <sz val="12"/>
        <color rgb="FF00B050"/>
        <rFont val="Nirmala UI"/>
      </rPr>
      <t>Whatsapp</t>
    </r>
    <r>
      <rPr>
        <sz val="12"/>
        <rFont val="Nirmala UI"/>
      </rPr>
      <t xml:space="preserve"> లో నాకు </t>
    </r>
    <r>
      <rPr>
        <sz val="12"/>
        <color rgb="FF0707B5"/>
        <rFont val="Nirmala UI"/>
      </rPr>
      <t>NOTICE  చెయ్యగలరు</t>
    </r>
    <r>
      <rPr>
        <sz val="12"/>
        <rFont val="Nirmala UI"/>
      </rPr>
      <t>.</t>
    </r>
  </si>
  <si>
    <r>
      <rPr>
        <sz val="12"/>
        <rFont val="Nirmala UI"/>
      </rPr>
      <t xml:space="preserve">DA, HRA, INC, PROMOTION
ARREARS ను ANNEXURE I లో
MANUAL గా నమోదు చెయ్యండి.
</t>
    </r>
    <r>
      <rPr>
        <sz val="12"/>
        <color rgb="FFFFFF00"/>
        <rFont val="Nirmala UI"/>
      </rPr>
      <t>PERUMAL : 99 63 53 53 04</t>
    </r>
  </si>
  <si>
    <r>
      <rPr>
        <b/>
        <sz val="12"/>
        <color rgb="FFFF0000"/>
        <rFont val="Nirmala UI"/>
      </rPr>
      <t xml:space="preserve">PROMOTION ; HALF PAY LEAVE మరియు
LOSS OF PAY ఉపయోగించుకున్న వారికి
ప్రస్తుతానికి ఇందులో అవకాశం లేదు.
</t>
    </r>
    <r>
      <rPr>
        <sz val="11"/>
        <rFont val="Nirmala UI"/>
      </rPr>
      <t>(త్వరలో వీటిని కూడా ADD చేస్తాం)</t>
    </r>
  </si>
  <si>
    <t>H.R.A.</t>
  </si>
  <si>
    <t>A.G.I. @ 2022</t>
  </si>
  <si>
    <t>Addl.HRA</t>
  </si>
  <si>
    <t>Surrender Leave 1 : 2021</t>
  </si>
  <si>
    <t>H.R.A. Changed Date</t>
  </si>
  <si>
    <t>Surrender Leave 2 : 2022</t>
  </si>
  <si>
    <t>Additional H.R.A. Changed Date</t>
  </si>
  <si>
    <t>DA 1 Changed Month</t>
  </si>
  <si>
    <r>
      <rPr>
        <b/>
        <sz val="10"/>
        <rFont val="Nirmala UI"/>
      </rPr>
      <t xml:space="preserve">మీరు </t>
    </r>
    <r>
      <rPr>
        <b/>
        <sz val="10"/>
        <color rgb="FFFF0000"/>
        <rFont val="Nirmala UI"/>
      </rPr>
      <t>MS OFFICE 2016</t>
    </r>
    <r>
      <rPr>
        <b/>
        <sz val="10"/>
        <rFont val="Nirmala UI"/>
      </rPr>
      <t xml:space="preserve"> కన్నా ముందు </t>
    </r>
    <r>
      <rPr>
        <b/>
        <sz val="10"/>
        <color rgb="FFFF0000"/>
        <rFont val="Nirmala UI"/>
      </rPr>
      <t>VERSION</t>
    </r>
    <r>
      <rPr>
        <b/>
        <sz val="10"/>
        <rFont val="Nirmala UI"/>
      </rPr>
      <t xml:space="preserve"> ను
ఉపయోగిస్తుంటే  </t>
    </r>
    <r>
      <rPr>
        <b/>
        <sz val="10"/>
        <color rgb="FFFF0000"/>
        <rFont val="Nirmala UI"/>
      </rPr>
      <t>UPDATE</t>
    </r>
    <r>
      <rPr>
        <b/>
        <sz val="10"/>
        <rFont val="Nirmala UI"/>
      </rPr>
      <t xml:space="preserve">  చేయించుకోండి.</t>
    </r>
  </si>
  <si>
    <t>Conveyance or Reader  Allowance</t>
  </si>
  <si>
    <t>DA 2 Changed Month</t>
  </si>
  <si>
    <t>OFFICE :</t>
  </si>
  <si>
    <t>Mdl :</t>
  </si>
  <si>
    <t>EMP. Tr ID :</t>
  </si>
  <si>
    <t>REGIME</t>
  </si>
  <si>
    <t>Village :</t>
  </si>
  <si>
    <t>Dist :</t>
  </si>
  <si>
    <t>EMP. PAN :</t>
  </si>
  <si>
    <t>MONTH</t>
  </si>
  <si>
    <t>BASIC
PAY</t>
  </si>
  <si>
    <t>D.A.</t>
  </si>
  <si>
    <t>I.R.
27%</t>
  </si>
  <si>
    <t>HMA
FPA</t>
  </si>
  <si>
    <t>ADDL
HRA</t>
  </si>
  <si>
    <t>P.H.A.</t>
  </si>
  <si>
    <t>R.A.
C.A.</t>
  </si>
  <si>
    <t>GROSS
SALARY</t>
  </si>
  <si>
    <t>G.I.S.</t>
  </si>
  <si>
    <t>E.H.F.</t>
  </si>
  <si>
    <t>EWF
SWF</t>
  </si>
  <si>
    <t>S.S.S.
(LIC)</t>
  </si>
  <si>
    <t>TOTAL
DEDs</t>
  </si>
  <si>
    <t>NET
SALARY</t>
  </si>
  <si>
    <t>HRA
%</t>
  </si>
  <si>
    <t>D.A.
%</t>
  </si>
  <si>
    <t>E.L.s</t>
  </si>
  <si>
    <t>AAS Arrs</t>
  </si>
  <si>
    <r>
      <rPr>
        <sz val="9"/>
        <rFont val="Calibri"/>
      </rPr>
      <t xml:space="preserve">MRB </t>
    </r>
    <r>
      <rPr>
        <sz val="8"/>
        <rFont val="Calibri"/>
      </rPr>
      <t>Claims</t>
    </r>
  </si>
  <si>
    <t>DA Arrs 1</t>
  </si>
  <si>
    <t>DA Arrs 2</t>
  </si>
  <si>
    <t>HRA Arrs</t>
  </si>
  <si>
    <t>INC. Arrs</t>
  </si>
  <si>
    <t>PRO. Arrs</t>
  </si>
  <si>
    <t/>
  </si>
  <si>
    <t>SIGNATURE OF THE DDO</t>
  </si>
  <si>
    <t>SIGNATURE OF THE EMPLOYEE</t>
  </si>
  <si>
    <t>Prepared by    :   Ramanjaneyulu PERUMAL       S.G.TEACHER       RAHIMANPURAM       9963535304</t>
  </si>
  <si>
    <t>FINANCIAL YEAR
2024 - 2025</t>
  </si>
  <si>
    <t>ANNEXURE_II</t>
  </si>
  <si>
    <t>ASSESSMENT YEAR
2025 - 2026</t>
  </si>
  <si>
    <t>RENT PAID minus 10% OF SALARY</t>
  </si>
  <si>
    <t>INCOME TAX CALCULATION</t>
  </si>
  <si>
    <t>X</t>
  </si>
  <si>
    <t>●</t>
  </si>
  <si>
    <t>Y</t>
  </si>
  <si>
    <t>(BP+DA) x 10% =</t>
  </si>
  <si>
    <t>X - Y =</t>
  </si>
  <si>
    <t>HRA EXEMPTION CALCULATION</t>
  </si>
  <si>
    <t>GROSS  SALARY</t>
  </si>
  <si>
    <t>A</t>
  </si>
  <si>
    <t>RECEIVED HRA =</t>
  </si>
  <si>
    <r>
      <rPr>
        <sz val="9"/>
        <rFont val="Nirmala UI"/>
      </rPr>
      <t xml:space="preserve">HRA Exemption as per eligibility U/s </t>
    </r>
    <r>
      <rPr>
        <b/>
        <sz val="9"/>
        <rFont val="Nirmala UI"/>
      </rPr>
      <t>10(13A)</t>
    </r>
  </si>
  <si>
    <t>B</t>
  </si>
  <si>
    <t>a)</t>
  </si>
  <si>
    <t>ACTUAL HRA RECEIVED : (HRA + Addl. HRA)</t>
  </si>
  <si>
    <t>C</t>
  </si>
  <si>
    <t>(BP+DA)*40%=</t>
  </si>
  <si>
    <t>b)</t>
  </si>
  <si>
    <t>Rent paid - 10% =</t>
  </si>
  <si>
    <t>Minimum of ABC</t>
  </si>
  <si>
    <t>c)</t>
  </si>
  <si>
    <t>40% of SALARY ( SALARY means B.P.+D.A. )</t>
  </si>
  <si>
    <t>←  ←  ←  ←  ←</t>
  </si>
  <si>
    <t>↑↑</t>
  </si>
  <si>
    <r>
      <rPr>
        <b/>
        <sz val="11"/>
        <rFont val="Nirmala UI"/>
      </rPr>
      <t xml:space="preserve">TOTAL SALARY </t>
    </r>
    <r>
      <rPr>
        <b/>
        <sz val="9"/>
        <rFont val="Nirmala UI"/>
      </rPr>
      <t>(After H.R.A. EXEMPTION)</t>
    </r>
  </si>
  <si>
    <t>(1-2)</t>
  </si>
  <si>
    <t>DEDUCTIONS  FROM  SALARY  INCOME</t>
  </si>
  <si>
    <r>
      <rPr>
        <sz val="9"/>
        <rFont val="Nirmala UI"/>
      </rPr>
      <t xml:space="preserve">Conveyance  Allowance U/s </t>
    </r>
    <r>
      <rPr>
        <b/>
        <sz val="9"/>
        <rFont val="Nirmala UI"/>
      </rPr>
      <t>10(14)(i)</t>
    </r>
  </si>
  <si>
    <t>PHA + R.A. + DHOBI     (Exemption)</t>
  </si>
  <si>
    <r>
      <rPr>
        <sz val="9"/>
        <rFont val="Nirmala UI"/>
      </rPr>
      <t xml:space="preserve">Standard Deduction U/s </t>
    </r>
    <r>
      <rPr>
        <b/>
        <sz val="9"/>
        <rFont val="Nirmala UI"/>
      </rPr>
      <t>16(ia)</t>
    </r>
  </si>
  <si>
    <t>Old Reg. = 50000</t>
  </si>
  <si>
    <t>New Reg. = 75000</t>
  </si>
  <si>
    <r>
      <rPr>
        <sz val="9"/>
        <rFont val="Nirmala UI"/>
      </rPr>
      <t xml:space="preserve">Profession Tax          U/s </t>
    </r>
    <r>
      <rPr>
        <b/>
        <sz val="9"/>
        <rFont val="Nirmala UI"/>
      </rPr>
      <t>16 (iii)</t>
    </r>
  </si>
  <si>
    <t xml:space="preserve">INCOME  FROM  SALARY </t>
  </si>
  <si>
    <t>(3-4)</t>
  </si>
  <si>
    <t>FAMILY PENSION =</t>
  </si>
  <si>
    <t>Income From Pension</t>
  </si>
  <si>
    <r>
      <rPr>
        <sz val="9"/>
        <rFont val="Nirmala UI"/>
      </rPr>
      <t xml:space="preserve">Income/Loss From House Property U/s </t>
    </r>
    <r>
      <rPr>
        <b/>
        <sz val="9"/>
        <rFont val="Nirmala UI"/>
      </rPr>
      <t>24 (vi)</t>
    </r>
  </si>
  <si>
    <t>Exemption :: Limited to 15000 Rs</t>
  </si>
  <si>
    <t>INCOME FROM SALARY + OTHERS</t>
  </si>
  <si>
    <t xml:space="preserve">  (5+6+7+8)</t>
  </si>
  <si>
    <t>SAVINGS u/s 80C,80CCC,80CCD…Etc.</t>
  </si>
  <si>
    <t>SALARY DEDUCTION</t>
  </si>
  <si>
    <t>G.I.S.    ( Group Insurance Scheme )</t>
  </si>
  <si>
    <t>d)</t>
  </si>
  <si>
    <t>e)</t>
  </si>
  <si>
    <t>POSTAL LIFE INSURANCE (PLI/RPLI)</t>
  </si>
  <si>
    <t>f)</t>
  </si>
  <si>
    <t>g)</t>
  </si>
  <si>
    <t>S.B.I. LIFE INSURANCE</t>
  </si>
  <si>
    <t>h)</t>
  </si>
  <si>
    <t>i)</t>
  </si>
  <si>
    <t>j)</t>
  </si>
  <si>
    <t>k)</t>
  </si>
  <si>
    <t>l)</t>
  </si>
  <si>
    <t>CPS DEDUCTION SPLITTING</t>
  </si>
  <si>
    <t>m)</t>
  </si>
  <si>
    <t>TOTAL SAVINGS U/s 80C</t>
  </si>
  <si>
    <t xml:space="preserve"> (Limited to 1,50,000)</t>
  </si>
  <si>
    <r>
      <rPr>
        <sz val="10"/>
        <rFont val="Nirmala UI"/>
      </rPr>
      <t xml:space="preserve">National Pension Scheme    U/s </t>
    </r>
    <r>
      <rPr>
        <b/>
        <sz val="10"/>
        <rFont val="Nirmala UI"/>
      </rPr>
      <t>80CCD (1)(B)</t>
    </r>
  </si>
  <si>
    <t xml:space="preserve"> (Limited to    50,000)</t>
  </si>
  <si>
    <r>
      <rPr>
        <sz val="10"/>
        <rFont val="Nirmala UI"/>
      </rPr>
      <t xml:space="preserve">National Pension Scheme    U/s </t>
    </r>
    <r>
      <rPr>
        <b/>
        <sz val="10"/>
        <rFont val="Nirmala UI"/>
      </rPr>
      <t>80CCD (2)</t>
    </r>
  </si>
  <si>
    <t>Employer's Matching Contribution</t>
  </si>
  <si>
    <t>80CCD (2)      =</t>
  </si>
  <si>
    <t xml:space="preserve">GROSS  TOTAL  INCOME </t>
  </si>
  <si>
    <t>(9-10-11)</t>
  </si>
  <si>
    <t>FOR YOUR REFERENCE ONLY</t>
  </si>
  <si>
    <t>DEDUCTIONS    U/s 80D,80E,80G,80U,24(B)</t>
  </si>
  <si>
    <t>GROSS SALARY</t>
  </si>
  <si>
    <r>
      <rPr>
        <sz val="10"/>
        <rFont val="Nirmala UI"/>
      </rPr>
      <t>E.W.F &amp; S.W.F &amp; CMRF            U/s</t>
    </r>
    <r>
      <rPr>
        <b/>
        <sz val="10"/>
        <rFont val="Nirmala UI"/>
      </rPr>
      <t xml:space="preserve"> 80(G)</t>
    </r>
  </si>
  <si>
    <t>HRA EXEMPTION</t>
  </si>
  <si>
    <t>OTHER INCOME</t>
  </si>
  <si>
    <t>D</t>
  </si>
  <si>
    <t>S.D. + C.A. + P.T.</t>
  </si>
  <si>
    <t>E</t>
  </si>
  <si>
    <t>80C TOTAL</t>
  </si>
  <si>
    <r>
      <rPr>
        <sz val="10"/>
        <rFont val="Nirmala UI"/>
      </rPr>
      <t xml:space="preserve">Medical Insurance Premiums     </t>
    </r>
    <r>
      <rPr>
        <b/>
        <sz val="10"/>
        <rFont val="Nirmala UI"/>
      </rPr>
      <t>80D</t>
    </r>
  </si>
  <si>
    <t>Self/Spouse/Children/Dependents</t>
  </si>
  <si>
    <t>F</t>
  </si>
  <si>
    <t>80CCD (1)(B)</t>
  </si>
  <si>
    <r>
      <rPr>
        <sz val="10"/>
        <rFont val="Nirmala UI"/>
      </rPr>
      <t xml:space="preserve">Donations of Charitable Trust    </t>
    </r>
    <r>
      <rPr>
        <b/>
        <sz val="10"/>
        <rFont val="Nirmala UI"/>
      </rPr>
      <t>80G</t>
    </r>
  </si>
  <si>
    <t>Donation for ______________________</t>
  </si>
  <si>
    <t>G</t>
  </si>
  <si>
    <t>80CCD (2)</t>
  </si>
  <si>
    <r>
      <rPr>
        <sz val="10"/>
        <rFont val="Nirmala UI"/>
      </rPr>
      <t xml:space="preserve">Employee Health Scheme (EHS) </t>
    </r>
    <r>
      <rPr>
        <b/>
        <sz val="10"/>
        <rFont val="Nirmala UI"/>
      </rPr>
      <t>80D</t>
    </r>
  </si>
  <si>
    <t>H</t>
  </si>
  <si>
    <t>80D,80E,80G,80U,24B</t>
  </si>
  <si>
    <t>DEDUCTIONS U/s 80D,80E,80G,80U,24(B)</t>
  </si>
  <si>
    <t>TOTAL : 10(a) to 10(g)</t>
  </si>
  <si>
    <t>NET</t>
  </si>
  <si>
    <t>TAXABLE INCOME</t>
  </si>
  <si>
    <t>(12-13)</t>
  </si>
  <si>
    <t>Rounded to nearest Rs.10 u/s 288-A</t>
  </si>
  <si>
    <t>↔</t>
  </si>
  <si>
    <t>Roundoff NET =</t>
  </si>
  <si>
    <t>TAX ON INCOME</t>
  </si>
  <si>
    <t>( SLAB   WISE )</t>
  </si>
  <si>
    <t>֍</t>
  </si>
  <si>
    <t>LESS : TAX Rebate under section 87(A)</t>
  </si>
  <si>
    <t>TAX ON  INCOME  (After TAX REBATE)</t>
  </si>
  <si>
    <t>ADD : SURCHARGE (After Marginal Relief)</t>
  </si>
  <si>
    <r>
      <rPr>
        <sz val="9"/>
        <rFont val="Nirmala UI"/>
      </rPr>
      <t>ADD : Health and Education</t>
    </r>
    <r>
      <rPr>
        <b/>
        <sz val="9"/>
        <rFont val="Nirmala UI"/>
      </rPr>
      <t xml:space="preserve"> Cess @ 4%</t>
    </r>
  </si>
  <si>
    <t>TAX on INCOME  after adding CESS</t>
  </si>
  <si>
    <t>LESS : TAX RELIEF under section 89(1)</t>
  </si>
  <si>
    <t>LESS : TOTAL ADVANCE TAX PAID</t>
  </si>
  <si>
    <t>(Mar - 2024 to Feb - 2025)</t>
  </si>
  <si>
    <r>
      <rPr>
        <b/>
        <sz val="10"/>
        <rFont val="Nirmala UI"/>
      </rPr>
      <t xml:space="preserve">TAX TO BE PAID NOW  </t>
    </r>
    <r>
      <rPr>
        <b/>
        <sz val="9"/>
        <rFont val="Nirmala UI"/>
      </rPr>
      <t>(FOR F.Y. : 2024-2025)</t>
    </r>
  </si>
  <si>
    <t>(20-21-22)</t>
  </si>
  <si>
    <t>[ vide rule31(1)(a) of I.T. RULES 1962 ]</t>
  </si>
  <si>
    <t>certificate under section 203 of the Income_tax Act , 1961.</t>
  </si>
  <si>
    <t>for Tax deducted at source from income chargeable under the head "salaries"</t>
  </si>
  <si>
    <t>NAME AND ADDRESS OF THE EMPLOYER</t>
  </si>
  <si>
    <t>NAME AND ADDRESS OF THE EMPLOYEE</t>
  </si>
  <si>
    <t>EMPLOYEE PAN</t>
  </si>
  <si>
    <t>EMPLOYEE TREASURY ID</t>
  </si>
  <si>
    <t>Acknowledgement Nos.of all quarterly statements of TDS under sub-section 200 as provided by TIN facilitation center or NSDL web-site</t>
  </si>
  <si>
    <t xml:space="preserve">    Quarter - No.</t>
  </si>
  <si>
    <t>Acknowledge. No</t>
  </si>
  <si>
    <t>Amount</t>
  </si>
  <si>
    <t>Period</t>
  </si>
  <si>
    <t>Assessment
year</t>
  </si>
  <si>
    <t>Quarter - 1</t>
  </si>
  <si>
    <t>FROM</t>
  </si>
  <si>
    <t>To</t>
  </si>
  <si>
    <t>Quarter - 2</t>
  </si>
  <si>
    <t>2025-2026</t>
  </si>
  <si>
    <t>Quarter - 3</t>
  </si>
  <si>
    <t>Quarter - 4</t>
  </si>
  <si>
    <t>DETAILS OF SALARY PAID AND ANY OTHER INCOME AND TAX DEDUCTED</t>
  </si>
  <si>
    <t xml:space="preserve">GROSS  SALARY </t>
  </si>
  <si>
    <t>Salary as per provisions contained in section 17 (1)</t>
  </si>
  <si>
    <t>Value of percuisites    under section 17(2)</t>
  </si>
  <si>
    <t>Profits in lieu of salary under section 17(3)</t>
  </si>
  <si>
    <t>TOTAL  (a +b+ c)</t>
  </si>
  <si>
    <t>LESS :  Allowance to the extent exempted U/s 10</t>
  </si>
  <si>
    <t>HOUSE RENT ALLOWANCE U/s 10(13)(A)</t>
  </si>
  <si>
    <t>Conveyance  Allowance U/s 10(14)(i)</t>
  </si>
  <si>
    <t xml:space="preserve">BALANCE </t>
  </si>
  <si>
    <t>LESS :  Allowance to the extent exempted U/s 16</t>
  </si>
  <si>
    <t>Standard Deduction U/s 16(ia)</t>
  </si>
  <si>
    <t>Profession Tax            U/s 16 (iii)</t>
  </si>
  <si>
    <t>Aggreate of 4 (a)&amp;(b)</t>
  </si>
  <si>
    <t>4(a)+4(b)</t>
  </si>
  <si>
    <t>INCOME UNDER THE HEAD SALARIES</t>
  </si>
  <si>
    <t>(3-5)</t>
  </si>
  <si>
    <t>Any other income reported by the employee</t>
  </si>
  <si>
    <t>(6+7)</t>
  </si>
  <si>
    <t>Deductions   Under    Chapter VI A</t>
  </si>
  <si>
    <t>A)</t>
  </si>
  <si>
    <t>Under Sections 80C,80CCC,80CCD,80CCF</t>
  </si>
  <si>
    <t>Gross Amount</t>
  </si>
  <si>
    <t>Qualify Amount</t>
  </si>
  <si>
    <t>80C</t>
  </si>
  <si>
    <t>TOTAL ( Max.Limit : Rs.1,50,000 )</t>
  </si>
  <si>
    <t>80CCD(1)(B)</t>
  </si>
  <si>
    <t xml:space="preserve">80CCD (2)    </t>
  </si>
  <si>
    <t>TOTAL DEDUCTION :: U/s 80C + U/s 80CCD (1)(B) +  80CCD (2)</t>
  </si>
  <si>
    <t>(8-9)</t>
  </si>
  <si>
    <t>B)</t>
  </si>
  <si>
    <t>Other Sections Under Chapter VI A</t>
  </si>
  <si>
    <t>80G</t>
  </si>
  <si>
    <t xml:space="preserve">Aggregate of Deductible Amount Under Chapter VIA(A+B) </t>
  </si>
  <si>
    <r>
      <rPr>
        <b/>
        <sz val="12"/>
        <color rgb="FF000000"/>
        <rFont val="Century Gothic"/>
      </rPr>
      <t xml:space="preserve">TOTAL INCOME </t>
    </r>
    <r>
      <rPr>
        <b/>
        <sz val="8"/>
        <color rgb="FF000000"/>
        <rFont val="Century Gothic"/>
      </rPr>
      <t>( Rounded to nearest Rs.10 u/s 288-A )</t>
    </r>
  </si>
  <si>
    <r>
      <rPr>
        <b/>
        <sz val="11"/>
        <rFont val="Century Gothic"/>
      </rPr>
      <t xml:space="preserve">TOTAL INCOME  </t>
    </r>
    <r>
      <rPr>
        <b/>
        <sz val="9"/>
        <rFont val="Century Gothic"/>
      </rPr>
      <t>(NET TAXABLE INCOME)</t>
    </r>
  </si>
  <si>
    <t>( 8-9 )</t>
  </si>
  <si>
    <t>SLABS ( A+B+C+D )</t>
  </si>
  <si>
    <t>TaxRebate u/s 87A</t>
  </si>
  <si>
    <t>TOTAL TAX  AFTER TAX REBATE</t>
  </si>
  <si>
    <t>(On S.No.14)</t>
  </si>
  <si>
    <t>TAX PAYABLE AFTER CESS</t>
  </si>
  <si>
    <t>(13+14+15)</t>
  </si>
  <si>
    <t>LESS: Relief under section 89(1) (attach details) &amp; (FORM No. 10E)</t>
  </si>
  <si>
    <t>TAX PAYABLE AFTER REBATE &amp; RELIEF</t>
  </si>
  <si>
    <t>(16-17)</t>
  </si>
  <si>
    <t>(a)</t>
  </si>
  <si>
    <t>TAX DEDUCTED AT SOURCE u/s 192(1)</t>
  </si>
  <si>
    <t>(b)</t>
  </si>
  <si>
    <t>Tax paid by the employer on behalf of the employee u/s 192(1A) on perquisited u/s 17(2)</t>
  </si>
  <si>
    <t>TAX PAYABLE</t>
  </si>
  <si>
    <t>DETAILS OF TAX DEDUCTED AND DEPOSITED IN THE CENTRAL GOVERNMENT ACCOUNT THROUGH BOOK ADJUSTMENT</t>
  </si>
  <si>
    <t>(The employer is to provide transaction - wise details of tax deducted and deposited)</t>
  </si>
  <si>
    <t>S.No.</t>
  </si>
  <si>
    <t>Quarter(s)</t>
  </si>
  <si>
    <t>Salary
Month</t>
  </si>
  <si>
    <t>Tax 
Deposited Month</t>
  </si>
  <si>
    <t>Total Tax
Deposited
( Rs. )</t>
  </si>
  <si>
    <t>Receipt No.s
of Form
No.24G</t>
  </si>
  <si>
    <t>DDO  S.No.
in Form
No.24G</t>
  </si>
  <si>
    <t>Date of
transfer voucher
DD/MM/YYYY</t>
  </si>
  <si>
    <t>Status of
matching with
Form No. 24 G</t>
  </si>
  <si>
    <t>Q.1</t>
  </si>
  <si>
    <t>Q.2</t>
  </si>
  <si>
    <t>Q.3</t>
  </si>
  <si>
    <t>Q.4</t>
  </si>
  <si>
    <t xml:space="preserve">TOTAL : </t>
  </si>
  <si>
    <t>VERIFICATION</t>
  </si>
  <si>
    <t xml:space="preserve"> </t>
  </si>
  <si>
    <t xml:space="preserve">              </t>
  </si>
  <si>
    <t>PLACE :</t>
  </si>
  <si>
    <t>Signature of the person responsible for deduction of tax</t>
  </si>
  <si>
    <t>DATE   :</t>
  </si>
  <si>
    <t>FULL NAME   :</t>
  </si>
  <si>
    <t>DESIGNATION :</t>
  </si>
  <si>
    <t>MANDAL :</t>
  </si>
  <si>
    <t>DISTRICT :</t>
  </si>
  <si>
    <t xml:space="preserve">1) </t>
  </si>
  <si>
    <t>Aggregate amount deductable under section 80C limit Rs. 1,50,000.  In addition to Rs. 50000 U/s 80CCD(1)(B)</t>
  </si>
  <si>
    <t xml:space="preserve">2) </t>
  </si>
  <si>
    <t>Aggregate amount deductable under section 80C , 80CCC , 80CCD shall not exceed 2 lakh rupees.</t>
  </si>
  <si>
    <t>S</t>
  </si>
  <si>
    <t>RECEIPT OF HOUSE RENT</t>
  </si>
  <si>
    <t>(Under Section 1 (13-A) of Income Tax Act)</t>
  </si>
  <si>
    <t>HOUSE ADDRESS :</t>
  </si>
  <si>
    <r>
      <rPr>
        <b/>
        <sz val="14"/>
        <rFont val="Calibri"/>
      </rPr>
      <t xml:space="preserve">         </t>
    </r>
    <r>
      <rPr>
        <b/>
        <sz val="14"/>
        <rFont val="Calibri"/>
      </rPr>
      <t>ᴥ</t>
    </r>
  </si>
  <si>
    <t>ü</t>
  </si>
  <si>
    <t>Signature of the Tenant</t>
  </si>
  <si>
    <t>Signature of the House Owner</t>
  </si>
  <si>
    <t>______________________________________________________________________________</t>
  </si>
  <si>
    <t>FORM NO.12BB</t>
  </si>
  <si>
    <t>(See rule 26C)</t>
  </si>
  <si>
    <t>Statement showing particulars of claims by an employee for deduction of tax under section 192</t>
  </si>
  <si>
    <t>Details of claims and evidence thereof  .........................</t>
  </si>
  <si>
    <t>Nature of claim</t>
  </si>
  <si>
    <t>Amount (Rs.)</t>
  </si>
  <si>
    <t>Evidence / particulars</t>
  </si>
  <si>
    <t>(1)</t>
  </si>
  <si>
    <t>(2)</t>
  </si>
  <si>
    <t>(3)</t>
  </si>
  <si>
    <t>(4)</t>
  </si>
  <si>
    <t>House Rent Allowance:</t>
  </si>
  <si>
    <t xml:space="preserve">(ii) Name of the landlord             :                                      Sri / Smt.  : </t>
  </si>
  <si>
    <t>(iv) Permanent Account Number of the landlord</t>
  </si>
  <si>
    <t>Leave travel concessions or assistance</t>
  </si>
  <si>
    <t>Deduction of interest on borrowing:</t>
  </si>
  <si>
    <t>(i) Interest payable/paid to the lender</t>
  </si>
  <si>
    <t>(ii) Name of the lender</t>
  </si>
  <si>
    <t>(iii) Address of the lender</t>
  </si>
  <si>
    <t>(iv) Permanent Account Number of the lender</t>
  </si>
  <si>
    <t xml:space="preserve">(a)   Financial Institutions(if available)  </t>
  </si>
  <si>
    <t>(b)   Employer(if available)</t>
  </si>
  <si>
    <t>(c)    Others</t>
  </si>
  <si>
    <t>Deduction under Chapter VI-A</t>
  </si>
  <si>
    <t>(A)</t>
  </si>
  <si>
    <t>Section 80C,80CCC and 80CCD</t>
  </si>
  <si>
    <t xml:space="preserve">   (i) Section 80C</t>
  </si>
  <si>
    <t xml:space="preserve">(c) </t>
  </si>
  <si>
    <t>(d)</t>
  </si>
  <si>
    <t>80CC</t>
  </si>
  <si>
    <t>(e)</t>
  </si>
  <si>
    <t>(f)</t>
  </si>
  <si>
    <t>(g)</t>
  </si>
  <si>
    <t>(h)</t>
  </si>
  <si>
    <t>(i)</t>
  </si>
  <si>
    <t>(j)</t>
  </si>
  <si>
    <t>(k)</t>
  </si>
  <si>
    <t>80CCC</t>
  </si>
  <si>
    <t>(l)</t>
  </si>
  <si>
    <t>80CCD</t>
  </si>
  <si>
    <t>(m)</t>
  </si>
  <si>
    <t>(B)</t>
  </si>
  <si>
    <t>Other sections  under Chapter VI-A.
      (e.g. 80E, 80G, 80TTA, etc.)</t>
  </si>
  <si>
    <t>(II)</t>
  </si>
  <si>
    <t>(iii)</t>
  </si>
  <si>
    <t>(iv)</t>
  </si>
  <si>
    <t>80U</t>
  </si>
  <si>
    <t>(v)</t>
  </si>
  <si>
    <t>80D</t>
  </si>
  <si>
    <t>(vi)</t>
  </si>
  <si>
    <t>(vii)</t>
  </si>
  <si>
    <t>(viii)</t>
  </si>
  <si>
    <t>80CCD (1B)</t>
  </si>
  <si>
    <t>(ix)</t>
  </si>
  <si>
    <t xml:space="preserve">80CCD (2) </t>
  </si>
  <si>
    <t>Verification</t>
  </si>
  <si>
    <t xml:space="preserve">PLACE : </t>
  </si>
  <si>
    <t xml:space="preserve">DATE  : </t>
  </si>
  <si>
    <t>(Signature of the employee)</t>
  </si>
  <si>
    <t>Design :</t>
  </si>
  <si>
    <t>OLD REGIME</t>
  </si>
  <si>
    <t xml:space="preserve">AGE &lt;=60 </t>
  </si>
  <si>
    <t>MARGINAL</t>
  </si>
  <si>
    <t>NEW REGIME</t>
  </si>
  <si>
    <t>AUTOMATIC</t>
  </si>
  <si>
    <t>BP_2022</t>
  </si>
  <si>
    <t>BP_2023</t>
  </si>
  <si>
    <t>AAS</t>
  </si>
  <si>
    <t>BP_2024</t>
  </si>
  <si>
    <t>BASIC</t>
  </si>
  <si>
    <t>INC</t>
  </si>
  <si>
    <t>A.G.I. BP</t>
  </si>
  <si>
    <t>A.A.S. BP</t>
  </si>
  <si>
    <t>FINAL BP</t>
  </si>
  <si>
    <t>DA 1</t>
  </si>
  <si>
    <t>DA 2</t>
  </si>
  <si>
    <t>DA FINAL</t>
  </si>
  <si>
    <t>HRA %</t>
  </si>
  <si>
    <t>AHRA</t>
  </si>
  <si>
    <r>
      <rPr>
        <sz val="10"/>
        <rFont val="Nirmala UI"/>
      </rPr>
      <t xml:space="preserve">DA 1 Arrears UPTO </t>
    </r>
    <r>
      <rPr>
        <sz val="10"/>
        <rFont val="Calibri"/>
      </rPr>
      <t>→</t>
    </r>
  </si>
  <si>
    <r>
      <rPr>
        <sz val="10"/>
        <rFont val="Nirmala UI"/>
      </rPr>
      <t xml:space="preserve">DA 2 Arrears UPTO </t>
    </r>
    <r>
      <rPr>
        <sz val="10"/>
        <rFont val="Calibri"/>
      </rPr>
      <t>→</t>
    </r>
  </si>
  <si>
    <t>80C SAVINGS LIST</t>
  </si>
  <si>
    <t>SAVINGs and LOANs LIST</t>
  </si>
  <si>
    <t xml:space="preserve">GENERAL </t>
  </si>
  <si>
    <t>SPLIT ►</t>
  </si>
  <si>
    <t>80C
Filtered</t>
  </si>
  <si>
    <t>80C Max.
APPLIED</t>
  </si>
  <si>
    <t>80C
FINAL</t>
  </si>
  <si>
    <t>Rs.  000000 - Rs.  250000</t>
  </si>
  <si>
    <t>Rs.  000000 - Rs.  300000</t>
  </si>
  <si>
    <t>FY 2024-25</t>
  </si>
  <si>
    <t>AY 2025-26</t>
  </si>
  <si>
    <t>ATAL PENSION YOJANA</t>
  </si>
  <si>
    <t>Rs.  250001 - Rs.  500000</t>
  </si>
  <si>
    <t>Rs.  300001 - Rs.  700000</t>
  </si>
  <si>
    <t>PERUMAL</t>
  </si>
  <si>
    <t>FILL YELLOW CELLS</t>
  </si>
  <si>
    <t>DA as on</t>
  </si>
  <si>
    <t>Rs.  500001 - Rs.1000000</t>
  </si>
  <si>
    <t>Rs.  700001 - Rs. 1000000</t>
  </si>
  <si>
    <t>NATIONAL SAVINGS CERTIFICATE</t>
  </si>
  <si>
    <t>Rs.1000001 &amp;    ABOVE</t>
  </si>
  <si>
    <t>Rs. 1000001 - Rs.1200000</t>
  </si>
  <si>
    <t>STD+NPS</t>
  </si>
  <si>
    <t>SHRIRAM LIFE INSURANCE</t>
  </si>
  <si>
    <t>Rs.1200001 - Rs.1500000</t>
  </si>
  <si>
    <t>OTHER Deductions</t>
  </si>
  <si>
    <t>USER GIVEN DATA</t>
  </si>
  <si>
    <t>DA ARREARS 1 (FROM - JUL 2018)</t>
  </si>
  <si>
    <t>EMPLOYEE     PROVIDENT FUND (EPF)</t>
  </si>
  <si>
    <t>Rs.1500000 &amp;    ABOVE</t>
  </si>
  <si>
    <t>DATE OF BIRTH</t>
  </si>
  <si>
    <t>INC 1</t>
  </si>
  <si>
    <t>CPS</t>
  </si>
  <si>
    <t>CASH</t>
  </si>
  <si>
    <t>VOLUNTARY PROVIDENT FUND (VPF)</t>
  </si>
  <si>
    <t>INC 2</t>
  </si>
  <si>
    <t>Equity Linked Savings Scheme  (ELSS)</t>
  </si>
  <si>
    <t>INC 3</t>
  </si>
  <si>
    <t>5 Yrs Fixed Deposits ( Bank / Postal )</t>
  </si>
  <si>
    <t>AGE &gt;60 &amp; &lt;=80</t>
  </si>
  <si>
    <t>NEW NET SALARY</t>
  </si>
  <si>
    <t>NABARD BONDS</t>
  </si>
  <si>
    <t>OLD NET SALARY</t>
  </si>
  <si>
    <t>Retirement Mutual Funds ( RMF )</t>
  </si>
  <si>
    <t>Rs.  300001 - Rs.  500000</t>
  </si>
  <si>
    <t>DA ARREARS 2 (FROM - JAN 2019)</t>
  </si>
  <si>
    <t>MUTUAL FUNDS  (S.B.I.)</t>
  </si>
  <si>
    <t>TIME DEPOSIT</t>
  </si>
  <si>
    <t>Num-Text</t>
  </si>
  <si>
    <t xml:space="preserve">TATA AIA LIFE INSURANCE </t>
  </si>
  <si>
    <t>TOTAL  (WITHOUT NPS SPLIT)</t>
  </si>
  <si>
    <t>BHARATHI AXA LIFE INSURANCE</t>
  </si>
  <si>
    <t xml:space="preserve">TOTAL  </t>
  </si>
  <si>
    <t>AGE &gt;80</t>
  </si>
  <si>
    <t xml:space="preserve">YOUR AGE IS </t>
  </si>
  <si>
    <t>Rs.  000000 - Rs.  500000</t>
  </si>
  <si>
    <t>YOUR D.O.B.</t>
  </si>
  <si>
    <t>LOANS LIST</t>
  </si>
  <si>
    <t>CPS ONLY</t>
  </si>
  <si>
    <t>CUT OFF DATE</t>
  </si>
  <si>
    <t xml:space="preserve">Interest on Housing Loan Advance U/s 24B  </t>
  </si>
  <si>
    <t>80C-CPS Ded</t>
  </si>
  <si>
    <t>80C&gt;1.5, 1.5L-B</t>
  </si>
  <si>
    <t>CPS 1</t>
  </si>
  <si>
    <t xml:space="preserve">Interest on Home Loan (Loan in FY-2016-17,House Value&lt;50L) U/s  80EE </t>
  </si>
  <si>
    <t>A - CPS1</t>
  </si>
  <si>
    <t>CPS 2</t>
  </si>
  <si>
    <t>Interest on Home Loan (Loan in FY-2019-20 , House Value&lt;=45L) U/s  80EEA</t>
  </si>
  <si>
    <t>Interest on Savings Account U/s 80TTA</t>
  </si>
  <si>
    <t>FINAL COMPARISION</t>
  </si>
  <si>
    <t>FY 2023-24</t>
  </si>
  <si>
    <t>OLD &lt;=60</t>
  </si>
  <si>
    <t>&gt;60 &lt;=80</t>
  </si>
  <si>
    <t>OLD &gt;80</t>
  </si>
  <si>
    <t>OVERALL FINAL</t>
  </si>
  <si>
    <t>OLD FINAL</t>
  </si>
  <si>
    <t>NEW</t>
  </si>
  <si>
    <t>Taxable Income</t>
  </si>
  <si>
    <t>USER OPTED</t>
  </si>
  <si>
    <t>REBATE (87A)</t>
  </si>
  <si>
    <t>SURCHARGE INTIAL</t>
  </si>
  <si>
    <t>BEST FOR USER</t>
  </si>
  <si>
    <t>MARGINAL RELIEF</t>
  </si>
  <si>
    <t>Total Exemption for Old Regime</t>
  </si>
  <si>
    <t>SURCHARGE FINAL</t>
  </si>
  <si>
    <t>GROSS INCOME as per Your data</t>
  </si>
  <si>
    <t>Standard Deduction For New Regime</t>
  </si>
  <si>
    <t>CESS</t>
  </si>
  <si>
    <t>YOUR TAX IS</t>
  </si>
  <si>
    <r>
      <rPr>
        <sz val="10"/>
        <rFont val="Nirmala UI"/>
      </rPr>
      <t xml:space="preserve">Old Tax Regime </t>
    </r>
    <r>
      <rPr>
        <b/>
        <sz val="10"/>
        <rFont val="Nirmala UI"/>
      </rPr>
      <t>with</t>
    </r>
    <r>
      <rPr>
        <sz val="10"/>
        <rFont val="Nirmala UI"/>
      </rPr>
      <t xml:space="preserve"> Deductions &amp; Exemptions</t>
    </r>
  </si>
  <si>
    <t>Total Exemption for New Regime</t>
  </si>
  <si>
    <r>
      <rPr>
        <sz val="9"/>
        <rFont val="Nirmala UI"/>
      </rPr>
      <t xml:space="preserve">New Tax Regime </t>
    </r>
    <r>
      <rPr>
        <b/>
        <sz val="9"/>
        <rFont val="Nirmala UI"/>
      </rPr>
      <t>without</t>
    </r>
    <r>
      <rPr>
        <sz val="9"/>
        <rFont val="Nirmala UI"/>
      </rPr>
      <t xml:space="preserve"> Deductions &amp; Exemptions</t>
    </r>
  </si>
  <si>
    <t>AAS ARREARS</t>
  </si>
  <si>
    <r>
      <rPr>
        <sz val="11"/>
        <color rgb="FFFF0000"/>
        <rFont val="Nirmala UI"/>
      </rPr>
      <t xml:space="preserve">E.L.s </t>
    </r>
    <r>
      <rPr>
        <sz val="11"/>
        <color rgb="FFFF0000"/>
        <rFont val="Book Antiqua"/>
      </rPr>
      <t>▼</t>
    </r>
  </si>
  <si>
    <t>FINAL</t>
  </si>
  <si>
    <r>
      <rPr>
        <sz val="11"/>
        <rFont val="Nirmala UI"/>
      </rPr>
      <t xml:space="preserve">E.L.s </t>
    </r>
    <r>
      <rPr>
        <sz val="11"/>
        <rFont val="Book Antiqua"/>
      </rPr>
      <t>▼</t>
    </r>
  </si>
  <si>
    <t>DATES</t>
  </si>
  <si>
    <t>NEW ELs</t>
  </si>
  <si>
    <t>Total Days</t>
  </si>
  <si>
    <r>
      <rPr>
        <sz val="11"/>
        <rFont val="Nirmala UI"/>
      </rPr>
      <t xml:space="preserve">AAS </t>
    </r>
    <r>
      <rPr>
        <sz val="11"/>
        <rFont val="Book Antiqua"/>
      </rPr>
      <t>▼</t>
    </r>
  </si>
  <si>
    <t>AAS DATE</t>
  </si>
  <si>
    <t>AAS BP =</t>
  </si>
  <si>
    <t>Days OLD BP</t>
  </si>
  <si>
    <t>Days NEW BP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</si>
</sst>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164" formatCode="#,##0_ ;[Red]\-#,##0\ "/>
    <numFmt numFmtId="165" formatCode="mmm/yyyy"/>
    <numFmt numFmtId="166" formatCode="[&gt;=10000000]##\,##\,##\,##0;[&gt;=100000]\ ##\,##\,##0;##,##0"/>
    <numFmt numFmtId="167" formatCode="_ * #,##0_ ;_ * \-#,##0_ ;_ * &quot;-&quot;_ ;_ @_ "/>
    <numFmt numFmtId="168" formatCode="00%"/>
    <numFmt numFmtId="169" formatCode="mmmm/yyyy"/>
    <numFmt numFmtId="170" formatCode="00"/>
    <numFmt numFmtId="171" formatCode="[$-4009]dd/mmm/yyyy"/>
    <numFmt numFmtId="172" formatCode="0000000"/>
    <numFmt numFmtId="173" formatCode="0000"/>
    <numFmt numFmtId="174" formatCode="_-[$Rs.-849]\ * #,##0_-;\-[$Rs.-849]\ * #,##0_-;_-[$Rs.-849]\ * &quot;-&quot;_-;_-@"/>
    <numFmt numFmtId="175" formatCode="_ &quot;Rs.&quot;\ * #,##0_ ;_ &quot;Rs.&quot;\ * \-#,##0_ ;_ &quot;Rs.&quot;\ * &quot;-&quot;_ ;_ @_ "/>
    <numFmt numFmtId="176" formatCode="[$-409]d/mmm/yyyy"/>
    <numFmt numFmtId="177" formatCode="dd/mmm/yyyy"/>
    <numFmt numFmtId="178" formatCode="[$-14009]dd\ mmmm\ yyyy"/>
    <numFmt numFmtId="179" formatCode="_-* #,##0_-;\-* #,##0_-;_-* &quot;-&quot;??_-;_-@"/>
    <numFmt numFmtId="180" formatCode="[$-14009]d\ mmmm\ yyyy"/>
    <numFmt numFmtId="181" formatCode="0.000%"/>
    <numFmt numFmtId="182" formatCode="_ * #,##0_ ;_ * \-#,##0_ ;_ * &quot;-&quot;??_ ;_ @_ "/>
  </numFmts>
  <fonts count="139">
    <font>
      <sz val="11"/>
      <name val="Calibri"/>
      <scheme val="minor"/>
    </font>
    <font>
      <sz val="11"/>
      <name val="Nirmala UI"/>
    </font>
    <font>
      <sz val="11"/>
      <name val="Calibri"/>
    </font>
    <font>
      <b/>
      <sz val="12"/>
      <name val="Calibri"/>
    </font>
    <font>
      <b/>
      <sz val="12"/>
      <name val="Nirmala UI"/>
    </font>
    <font>
      <sz val="11"/>
      <name val="Calibri"/>
    </font>
    <font>
      <b/>
      <sz val="20"/>
      <name val="Nirmala UI"/>
    </font>
    <font>
      <b/>
      <sz val="20"/>
      <name val="Calibri"/>
    </font>
    <font>
      <b/>
      <sz val="10"/>
      <name val="Nirmala UI"/>
    </font>
    <font>
      <b/>
      <sz val="19"/>
      <name val="Nirmala UI"/>
    </font>
    <font>
      <sz val="28"/>
      <name val="Nirmala UI"/>
    </font>
    <font>
      <b/>
      <sz val="11"/>
      <name val="Nirmala UI"/>
    </font>
    <font>
      <b/>
      <sz val="28"/>
      <color rgb="FF3333FF"/>
      <name val="Nirmala UI"/>
    </font>
    <font>
      <b/>
      <sz val="14"/>
      <name val="Calibri"/>
    </font>
    <font>
      <b/>
      <sz val="10"/>
      <color rgb="FFFF0000"/>
      <name val="Nirmala UI"/>
    </font>
    <font>
      <sz val="11"/>
      <color rgb="FFFF0000"/>
      <name val="Nirmala UI"/>
    </font>
    <font>
      <b/>
      <sz val="14"/>
      <color rgb="FFFF0000"/>
      <name val="Calibri"/>
    </font>
    <font>
      <b/>
      <sz val="11"/>
      <color rgb="FFFF0000"/>
      <name val="Nirmala UI"/>
    </font>
    <font>
      <b/>
      <sz val="30"/>
      <color rgb="FFFF0000"/>
      <name val="Nirmala UI"/>
    </font>
    <font>
      <b/>
      <sz val="14"/>
      <color rgb="FF0000FF"/>
      <name val="Calibri"/>
    </font>
    <font>
      <sz val="10"/>
      <name val="Nirmala UI"/>
    </font>
    <font>
      <b/>
      <sz val="11"/>
      <color rgb="FF0000FF"/>
      <name val="Nirmala UI"/>
    </font>
    <font>
      <b/>
      <sz val="11"/>
      <color rgb="FF3333FF"/>
      <name val="Nirmala UI"/>
    </font>
    <font>
      <sz val="10"/>
      <color rgb="FF3507DF"/>
      <name val="Nirmala UI"/>
    </font>
    <font>
      <b/>
      <sz val="12"/>
      <color rgb="FFFF0000"/>
      <name val="Nirmala UI"/>
    </font>
    <font>
      <b/>
      <sz val="10"/>
      <color rgb="FF3333FF"/>
      <name val="Calibri"/>
    </font>
    <font>
      <b/>
      <sz val="12"/>
      <color rgb="FF3333FF"/>
      <name val="Nirmala UI"/>
    </font>
    <font>
      <b/>
      <sz val="14"/>
      <color rgb="FF3333FF"/>
      <name val="Calibri"/>
    </font>
    <font>
      <sz val="12"/>
      <color rgb="FF3333FF"/>
      <name val="Calibri"/>
    </font>
    <font>
      <b/>
      <sz val="20"/>
      <color rgb="FFFF0000"/>
      <name val="Nirmala UI"/>
    </font>
    <font>
      <sz val="11"/>
      <color rgb="FFFF0066"/>
      <name val="Nirmala UI"/>
    </font>
    <font>
      <b/>
      <sz val="11"/>
      <color rgb="FF0707B5"/>
      <name val="Nirmala UI"/>
    </font>
    <font>
      <b/>
      <sz val="15"/>
      <name val="Calibri"/>
    </font>
    <font>
      <sz val="15"/>
      <name val="Calibri"/>
    </font>
    <font>
      <b/>
      <sz val="14"/>
      <name val="Nirmala UI"/>
    </font>
    <font>
      <b/>
      <sz val="15"/>
      <name val="Nirmala UI"/>
    </font>
    <font>
      <sz val="11"/>
      <color rgb="FF0000FF"/>
      <name val="Nirmala UI"/>
    </font>
    <font>
      <sz val="9"/>
      <name val="Nirmala UI"/>
    </font>
    <font>
      <sz val="8"/>
      <name val="Nirmala UI"/>
    </font>
    <font>
      <b/>
      <sz val="8"/>
      <name val="Nirmala UI"/>
    </font>
    <font>
      <b/>
      <sz val="18"/>
      <name val="Nirmala UI"/>
    </font>
    <font>
      <b/>
      <sz val="11"/>
      <name val="Nirmala UI"/>
    </font>
    <font>
      <sz val="9"/>
      <color rgb="FF3507DF"/>
      <name val="Nirmala UI"/>
    </font>
    <font>
      <b/>
      <sz val="10"/>
      <name val="Nirmala UI"/>
    </font>
    <font>
      <sz val="12"/>
      <name val="Nirmala UI"/>
    </font>
    <font>
      <sz val="9"/>
      <name val="Century Gothic"/>
    </font>
    <font>
      <b/>
      <sz val="16"/>
      <name val="Nirmala UI"/>
    </font>
    <font>
      <sz val="14"/>
      <color rgb="FFFF0000"/>
      <name val="Calibri"/>
    </font>
    <font>
      <b/>
      <sz val="9"/>
      <name val="Nirmala UI"/>
    </font>
    <font>
      <b/>
      <sz val="9"/>
      <name val="Calibri"/>
    </font>
    <font>
      <sz val="9"/>
      <name val="Calibri"/>
    </font>
    <font>
      <sz val="14"/>
      <name val="Nirmala UI"/>
    </font>
    <font>
      <b/>
      <sz val="10"/>
      <name val="Calibri"/>
    </font>
    <font>
      <b/>
      <sz val="13"/>
      <name val="Nirmala UI"/>
    </font>
    <font>
      <b/>
      <sz val="14"/>
      <color rgb="FF3333FF"/>
      <name val="Nirmala UI"/>
    </font>
    <font>
      <sz val="16"/>
      <color rgb="FF0053FA"/>
      <name val="Nirmala UI"/>
    </font>
    <font>
      <sz val="14"/>
      <color rgb="FF0053FA"/>
      <name val="Nirmala UI"/>
    </font>
    <font>
      <sz val="12"/>
      <color rgb="FF0053FA"/>
      <name val="Nirmala UI"/>
    </font>
    <font>
      <b/>
      <sz val="12"/>
      <color rgb="FFFF0000"/>
      <name val="Calibri"/>
    </font>
    <font>
      <b/>
      <sz val="10"/>
      <color rgb="FF0053FA"/>
      <name val="Nirmala UI"/>
    </font>
    <font>
      <sz val="12"/>
      <color rgb="FFFFC000"/>
      <name val="Nirmala UI"/>
    </font>
    <font>
      <b/>
      <sz val="12"/>
      <color rgb="FFC00000"/>
      <name val="Nirmala UI"/>
    </font>
    <font>
      <sz val="10"/>
      <color rgb="FF3333FF"/>
      <name val="Nirmala UI"/>
    </font>
    <font>
      <sz val="11"/>
      <color rgb="FF3333FF"/>
      <name val="Nirmala UI"/>
    </font>
    <font>
      <b/>
      <sz val="10"/>
      <color rgb="FF3333FF"/>
      <name val="Nirmala UI"/>
    </font>
    <font>
      <b/>
      <sz val="11"/>
      <name val="Calibri"/>
    </font>
    <font>
      <b/>
      <sz val="18"/>
      <name val="Calibri"/>
    </font>
    <font>
      <b/>
      <sz val="18"/>
      <name val="Nirmala UI"/>
    </font>
    <font>
      <b/>
      <sz val="8"/>
      <name val="Century Gothic"/>
    </font>
    <font>
      <b/>
      <sz val="11"/>
      <color rgb="FFFF0000"/>
      <name val="Calibri"/>
    </font>
    <font>
      <b/>
      <sz val="10"/>
      <name val="Book Antiqua"/>
    </font>
    <font>
      <b/>
      <sz val="9"/>
      <name val="Century Gothic"/>
    </font>
    <font>
      <sz val="12"/>
      <name val="Calibri"/>
    </font>
    <font>
      <b/>
      <sz val="9"/>
      <name val="Century Gothic"/>
    </font>
    <font>
      <b/>
      <sz val="9"/>
      <name val="Calibri"/>
    </font>
    <font>
      <b/>
      <sz val="14"/>
      <name val="Century Gothic"/>
    </font>
    <font>
      <b/>
      <sz val="12"/>
      <name val="Century Gothic"/>
    </font>
    <font>
      <b/>
      <sz val="12"/>
      <name val="Calibri"/>
    </font>
    <font>
      <b/>
      <sz val="11"/>
      <name val="Calibri"/>
    </font>
    <font>
      <b/>
      <sz val="10"/>
      <name val="Calibri"/>
    </font>
    <font>
      <sz val="10"/>
      <name val="Book Antiqua"/>
    </font>
    <font>
      <sz val="10"/>
      <name val="Nirmala UI"/>
    </font>
    <font>
      <sz val="10"/>
      <color rgb="FF0000FF"/>
      <name val="Nirmala UI"/>
    </font>
    <font>
      <b/>
      <sz val="9"/>
      <color rgb="FF0000FF"/>
      <name val="Century Gothic"/>
    </font>
    <font>
      <b/>
      <sz val="8"/>
      <color rgb="FF0000FF"/>
      <name val="Century Gothic"/>
    </font>
    <font>
      <b/>
      <sz val="10"/>
      <name val="Times New Roman"/>
    </font>
    <font>
      <b/>
      <sz val="11"/>
      <color rgb="FF000000"/>
      <name val="Calibri"/>
    </font>
    <font>
      <b/>
      <sz val="10"/>
      <color rgb="FF000000"/>
      <name val="Calibri"/>
    </font>
    <font>
      <b/>
      <sz val="9"/>
      <color rgb="FF000000"/>
      <name val="Century Gothic"/>
    </font>
    <font>
      <sz val="9"/>
      <name val="Nirmala UI"/>
    </font>
    <font>
      <b/>
      <sz val="10"/>
      <color rgb="FF000000"/>
      <name val="Book Antiqua"/>
    </font>
    <font>
      <b/>
      <sz val="11"/>
      <color rgb="FF000000"/>
      <name val="Book Antiqua"/>
    </font>
    <font>
      <b/>
      <sz val="12"/>
      <color rgb="FF000000"/>
      <name val="Century Gothic"/>
    </font>
    <font>
      <b/>
      <sz val="10"/>
      <color rgb="FF000000"/>
      <name val="Nirmala UI"/>
    </font>
    <font>
      <sz val="8"/>
      <name val="Century Gothic"/>
    </font>
    <font>
      <b/>
      <sz val="11"/>
      <name val="Century Gothic"/>
    </font>
    <font>
      <sz val="9"/>
      <name val="Century Gothic"/>
    </font>
    <font>
      <sz val="9"/>
      <name val="Calibri"/>
    </font>
    <font>
      <sz val="9"/>
      <color rgb="FFFF0000"/>
      <name val="Calibri"/>
    </font>
    <font>
      <b/>
      <sz val="8"/>
      <name val="Calibri"/>
    </font>
    <font>
      <b/>
      <u/>
      <sz val="14"/>
      <name val="Nirmala UI"/>
    </font>
    <font>
      <b/>
      <sz val="12"/>
      <name val="Book Antiqua"/>
    </font>
    <font>
      <b/>
      <sz val="11"/>
      <name val="Arial"/>
    </font>
    <font>
      <b/>
      <sz val="10"/>
      <name val="Book Antiqua"/>
    </font>
    <font>
      <sz val="10"/>
      <name val="Book Antiqua"/>
    </font>
    <font>
      <sz val="8"/>
      <name val="Book Antiqua"/>
    </font>
    <font>
      <b/>
      <sz val="9"/>
      <name val="Book Antiqua"/>
    </font>
    <font>
      <b/>
      <u/>
      <sz val="18"/>
      <name val="Calibri"/>
    </font>
    <font>
      <sz val="14"/>
      <name val="Calibri"/>
    </font>
    <font>
      <sz val="13"/>
      <name val="Calibri"/>
    </font>
    <font>
      <b/>
      <sz val="18"/>
      <name val="Calibri"/>
    </font>
    <font>
      <b/>
      <u/>
      <sz val="11"/>
      <name val="Century Gothic"/>
    </font>
    <font>
      <b/>
      <u/>
      <sz val="9"/>
      <name val="Century Gothic"/>
    </font>
    <font>
      <b/>
      <sz val="14"/>
      <name val="Noto Sans Symbols"/>
    </font>
    <font>
      <b/>
      <sz val="11"/>
      <name val="Century Gothic"/>
    </font>
    <font>
      <b/>
      <u/>
      <sz val="11"/>
      <name val="Nirmala UI"/>
    </font>
    <font>
      <b/>
      <u/>
      <sz val="11"/>
      <name val="Nirmala UI"/>
    </font>
    <font>
      <b/>
      <sz val="11"/>
      <name val="Book Antiqua"/>
    </font>
    <font>
      <b/>
      <sz val="8"/>
      <name val="Century Gothic"/>
    </font>
    <font>
      <b/>
      <sz val="16"/>
      <name val="Times New Roman"/>
    </font>
    <font>
      <sz val="10"/>
      <name val="Calibri"/>
    </font>
    <font>
      <b/>
      <sz val="14"/>
      <color rgb="FFFF0000"/>
      <name val="Nirmala UI"/>
    </font>
    <font>
      <sz val="8"/>
      <name val="Calibri"/>
    </font>
    <font>
      <sz val="10"/>
      <color rgb="FF0000FF"/>
      <name val="Calibri"/>
    </font>
    <font>
      <sz val="11"/>
      <color rgb="FF0707B5"/>
      <name val="Nirmala UI"/>
    </font>
    <font>
      <sz val="11"/>
      <color rgb="FF3333FF"/>
      <name val="Calibri"/>
    </font>
    <font>
      <sz val="9"/>
      <color rgb="FFFF0000"/>
      <name val="Nirmala UI"/>
    </font>
    <font>
      <sz val="8"/>
      <color rgb="FFFF0000"/>
      <name val="Nirmala UI"/>
    </font>
    <font>
      <sz val="11"/>
      <color rgb="FFFF0000"/>
      <name val="Calibri"/>
    </font>
    <font>
      <b/>
      <sz val="12"/>
      <color rgb="FFFFFF00"/>
      <name val="Nirmala UI"/>
    </font>
    <font>
      <b/>
      <sz val="14"/>
      <color rgb="FFFF0066"/>
      <name val="Nirmala UI"/>
    </font>
    <font>
      <sz val="9"/>
      <name val="Segoe UI Symbol"/>
    </font>
    <font>
      <b/>
      <sz val="9"/>
      <color rgb="FF3507DF"/>
      <name val="Nirmala UI"/>
    </font>
    <font>
      <b/>
      <sz val="12"/>
      <color rgb="FF00B050"/>
      <name val="Nirmala UI"/>
    </font>
    <font>
      <sz val="12"/>
      <color rgb="FF0707B5"/>
      <name val="Nirmala UI"/>
    </font>
    <font>
      <sz val="12"/>
      <color rgb="FFFFFF00"/>
      <name val="Nirmala UI"/>
    </font>
    <font>
      <b/>
      <sz val="8"/>
      <color rgb="FF000000"/>
      <name val="Century Gothic"/>
    </font>
    <font>
      <sz val="11"/>
      <color rgb="FFFF0000"/>
      <name val="Book Antiqua"/>
    </font>
    <font>
      <sz val="11"/>
      <name val="Book Antiqua"/>
    </font>
  </fonts>
  <fills count="21">
    <fill>
      <patternFill patternType="none"/>
    </fill>
    <fill>
      <patternFill patternType="gray125"/>
    </fill>
    <fill>
      <patternFill patternType="solid">
        <fgColor rgb="FF3333FF"/>
        <bgColor rgb="FF3333FF"/>
      </patternFill>
    </fill>
    <fill>
      <patternFill patternType="solid">
        <fgColor rgb="FF00FF99"/>
        <bgColor rgb="FF00FF99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FFC000"/>
        <bgColor rgb="FFFFC000"/>
      </patternFill>
    </fill>
    <fill>
      <patternFill patternType="solid">
        <fgColor rgb="FFE2EFD9"/>
        <bgColor rgb="FFE2EFD9"/>
      </patternFill>
    </fill>
    <fill>
      <patternFill patternType="solid">
        <fgColor rgb="FFFF6699"/>
        <bgColor rgb="FFFF6699"/>
      </patternFill>
    </fill>
    <fill>
      <patternFill patternType="solid">
        <fgColor rgb="FF00FFFF"/>
        <bgColor rgb="FF00FFFF"/>
      </patternFill>
    </fill>
    <fill>
      <patternFill patternType="solid">
        <fgColor rgb="FF92F8AA"/>
        <bgColor rgb="FF92F8AA"/>
      </patternFill>
    </fill>
    <fill>
      <patternFill patternType="solid">
        <fgColor rgb="FFFFE598"/>
        <bgColor rgb="FFFFE598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66"/>
        <bgColor rgb="FFFF0066"/>
      </patternFill>
    </fill>
    <fill>
      <patternFill patternType="solid">
        <fgColor rgb="FF00B050"/>
        <bgColor rgb="FF00B050"/>
      </patternFill>
    </fill>
    <fill>
      <patternFill patternType="solid">
        <fgColor rgb="FFA8D08D"/>
        <bgColor rgb="FFA8D08D"/>
      </patternFill>
    </fill>
    <fill>
      <patternFill patternType="solid">
        <fgColor rgb="FFFEF2CB"/>
        <bgColor rgb="FFFEF2CB"/>
      </patternFill>
    </fill>
  </fills>
  <borders count="2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double">
        <color auto="1"/>
      </bottom>
      <diagonal/>
    </border>
    <border>
      <left/>
      <right/>
      <top style="thick">
        <color rgb="FFFF0000"/>
      </top>
      <bottom style="double">
        <color auto="1"/>
      </bottom>
      <diagonal/>
    </border>
    <border>
      <left/>
      <right/>
      <top style="thick">
        <color rgb="FFFF0000"/>
      </top>
      <bottom style="double">
        <color auto="1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FF0000"/>
      </left>
      <right/>
      <top/>
      <bottom/>
      <diagonal/>
    </border>
    <border>
      <left style="double">
        <color auto="1"/>
      </left>
      <right style="hair">
        <color rgb="FF000000"/>
      </right>
      <top style="double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auto="1"/>
      </top>
      <bottom style="hair">
        <color rgb="FF000000"/>
      </bottom>
      <diagonal/>
    </border>
    <border>
      <left style="hair">
        <color rgb="FF000000"/>
      </left>
      <right style="double">
        <color auto="1"/>
      </right>
      <top style="double">
        <color auto="1"/>
      </top>
      <bottom style="hair">
        <color rgb="FF000000"/>
      </bottom>
      <diagonal/>
    </border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auto="1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auto="1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double">
        <color auto="1"/>
      </left>
      <right style="hair">
        <color rgb="FF000000"/>
      </right>
      <top style="hair">
        <color rgb="FF000000"/>
      </top>
      <bottom style="double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auto="1"/>
      </bottom>
      <diagonal/>
    </border>
    <border>
      <left style="hair">
        <color rgb="FF000000"/>
      </left>
      <right style="double">
        <color auto="1"/>
      </right>
      <top style="hair">
        <color rgb="FF000000"/>
      </top>
      <bottom style="double">
        <color auto="1"/>
      </bottom>
      <diagonal/>
    </border>
    <border>
      <left style="double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/>
      <bottom/>
      <diagonal/>
    </border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50505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hair">
        <color rgb="FFFF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02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0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right" vertical="center"/>
    </xf>
    <xf numFmtId="165" fontId="1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0" fontId="2" fillId="0" borderId="24" xfId="0" applyFont="1" applyBorder="1"/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center" vertical="center"/>
    </xf>
    <xf numFmtId="166" fontId="11" fillId="4" borderId="27" xfId="0" applyNumberFormat="1" applyFont="1" applyFill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4" fillId="6" borderId="34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16" fillId="6" borderId="23" xfId="0" applyFont="1" applyFill="1" applyBorder="1" applyAlignment="1">
      <alignment horizontal="center" vertical="center"/>
    </xf>
    <xf numFmtId="166" fontId="17" fillId="6" borderId="35" xfId="0" applyNumberFormat="1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left" vertical="center"/>
    </xf>
    <xf numFmtId="0" fontId="11" fillId="4" borderId="23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center" vertical="center"/>
    </xf>
    <xf numFmtId="166" fontId="11" fillId="4" borderId="35" xfId="0" applyNumberFormat="1" applyFont="1" applyFill="1" applyBorder="1" applyAlignment="1">
      <alignment horizontal="right" vertical="center"/>
    </xf>
    <xf numFmtId="166" fontId="4" fillId="0" borderId="34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6" fontId="4" fillId="0" borderId="35" xfId="0" applyNumberFormat="1" applyFont="1" applyBorder="1" applyAlignment="1">
      <alignment horizontal="center" vertical="center"/>
    </xf>
    <xf numFmtId="0" fontId="1" fillId="0" borderId="28" xfId="0" applyFont="1" applyBorder="1"/>
    <xf numFmtId="0" fontId="17" fillId="8" borderId="34" xfId="0" applyFont="1" applyFill="1" applyBorder="1" applyAlignment="1">
      <alignment horizontal="center" vertical="center"/>
    </xf>
    <xf numFmtId="167" fontId="21" fillId="8" borderId="23" xfId="0" applyNumberFormat="1" applyFont="1" applyFill="1" applyBorder="1" applyAlignment="1">
      <alignment vertical="center"/>
    </xf>
    <xf numFmtId="168" fontId="11" fillId="8" borderId="23" xfId="0" applyNumberFormat="1" applyFont="1" applyFill="1" applyBorder="1" applyAlignment="1">
      <alignment horizontal="center"/>
    </xf>
    <xf numFmtId="167" fontId="21" fillId="8" borderId="35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165" fontId="17" fillId="0" borderId="23" xfId="0" applyNumberFormat="1" applyFont="1" applyBorder="1" applyAlignment="1">
      <alignment horizontal="center" vertical="center"/>
    </xf>
    <xf numFmtId="170" fontId="11" fillId="0" borderId="21" xfId="0" applyNumberFormat="1" applyFont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1" fontId="24" fillId="0" borderId="21" xfId="0" applyNumberFormat="1" applyFont="1" applyBorder="1" applyAlignment="1">
      <alignment horizontal="right" vertical="center"/>
    </xf>
    <xf numFmtId="167" fontId="21" fillId="8" borderId="35" xfId="0" applyNumberFormat="1" applyFont="1" applyFill="1" applyBorder="1" applyAlignment="1">
      <alignment horizontal="right" vertical="center"/>
    </xf>
    <xf numFmtId="0" fontId="11" fillId="3" borderId="23" xfId="0" applyFont="1" applyFill="1" applyBorder="1" applyAlignment="1">
      <alignment vertical="center"/>
    </xf>
    <xf numFmtId="0" fontId="25" fillId="0" borderId="23" xfId="0" applyFont="1" applyBorder="1" applyAlignment="1">
      <alignment horizontal="center" vertical="center"/>
    </xf>
    <xf numFmtId="1" fontId="26" fillId="0" borderId="21" xfId="0" applyNumberFormat="1" applyFont="1" applyBorder="1" applyAlignment="1">
      <alignment horizontal="right" vertical="center"/>
    </xf>
    <xf numFmtId="0" fontId="11" fillId="3" borderId="22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1" fontId="26" fillId="0" borderId="48" xfId="0" applyNumberFormat="1" applyFont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167" fontId="11" fillId="8" borderId="23" xfId="0" applyNumberFormat="1" applyFont="1" applyFill="1" applyBorder="1" applyAlignment="1">
      <alignment horizontal="right" vertical="center"/>
    </xf>
    <xf numFmtId="166" fontId="27" fillId="8" borderId="23" xfId="0" applyNumberFormat="1" applyFont="1" applyFill="1" applyBorder="1" applyAlignment="1">
      <alignment horizontal="center" vertical="center"/>
    </xf>
    <xf numFmtId="167" fontId="11" fillId="8" borderId="35" xfId="0" applyNumberFormat="1" applyFont="1" applyFill="1" applyBorder="1" applyAlignment="1">
      <alignment vertical="center"/>
    </xf>
    <xf numFmtId="0" fontId="11" fillId="3" borderId="49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0" fontId="14" fillId="0" borderId="51" xfId="0" applyFont="1" applyBorder="1" applyAlignment="1">
      <alignment horizontal="center" vertical="center"/>
    </xf>
    <xf numFmtId="171" fontId="28" fillId="0" borderId="52" xfId="0" applyNumberFormat="1" applyFont="1" applyBorder="1" applyAlignment="1">
      <alignment horizontal="center" vertical="center"/>
    </xf>
    <xf numFmtId="165" fontId="11" fillId="0" borderId="49" xfId="0" applyNumberFormat="1" applyFont="1" applyBorder="1" applyAlignment="1">
      <alignment horizontal="right" vertical="center"/>
    </xf>
    <xf numFmtId="1" fontId="1" fillId="0" borderId="50" xfId="0" applyNumberFormat="1" applyFont="1" applyBorder="1" applyAlignment="1">
      <alignment horizontal="right" vertical="center"/>
    </xf>
    <xf numFmtId="1" fontId="1" fillId="0" borderId="52" xfId="0" applyNumberFormat="1" applyFont="1" applyBorder="1" applyAlignment="1">
      <alignment horizontal="right" vertical="center"/>
    </xf>
    <xf numFmtId="0" fontId="15" fillId="8" borderId="34" xfId="0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167" fontId="17" fillId="8" borderId="35" xfId="0" applyNumberFormat="1" applyFont="1" applyFill="1" applyBorder="1"/>
    <xf numFmtId="166" fontId="1" fillId="8" borderId="23" xfId="0" applyNumberFormat="1" applyFont="1" applyFill="1" applyBorder="1"/>
    <xf numFmtId="0" fontId="20" fillId="8" borderId="34" xfId="0" applyFont="1" applyFill="1" applyBorder="1" applyAlignment="1">
      <alignment vertical="center"/>
    </xf>
    <xf numFmtId="0" fontId="1" fillId="8" borderId="23" xfId="0" applyFont="1" applyFill="1" applyBorder="1" applyAlignment="1">
      <alignment vertical="center"/>
    </xf>
    <xf numFmtId="166" fontId="30" fillId="8" borderId="23" xfId="0" applyNumberFormat="1" applyFont="1" applyFill="1" applyBorder="1" applyAlignment="1">
      <alignment horizontal="center" vertical="center"/>
    </xf>
    <xf numFmtId="167" fontId="11" fillId="8" borderId="35" xfId="0" applyNumberFormat="1" applyFont="1" applyFill="1" applyBorder="1"/>
    <xf numFmtId="0" fontId="11" fillId="0" borderId="54" xfId="0" applyFont="1" applyBorder="1" applyAlignment="1">
      <alignment vertical="center"/>
    </xf>
    <xf numFmtId="0" fontId="32" fillId="3" borderId="57" xfId="0" applyFont="1" applyFill="1" applyBorder="1" applyAlignment="1">
      <alignment vertical="center"/>
    </xf>
    <xf numFmtId="0" fontId="33" fillId="3" borderId="58" xfId="0" applyFont="1" applyFill="1" applyBorder="1" applyAlignment="1">
      <alignment vertical="center"/>
    </xf>
    <xf numFmtId="0" fontId="33" fillId="3" borderId="59" xfId="0" applyFont="1" applyFill="1" applyBorder="1" applyAlignment="1">
      <alignment horizontal="left" vertical="center"/>
    </xf>
    <xf numFmtId="3" fontId="4" fillId="3" borderId="62" xfId="0" applyNumberFormat="1" applyFont="1" applyFill="1" applyBorder="1" applyAlignment="1">
      <alignment horizontal="center" vertical="center"/>
    </xf>
    <xf numFmtId="3" fontId="4" fillId="3" borderId="63" xfId="0" applyNumberFormat="1" applyFont="1" applyFill="1" applyBorder="1" applyAlignment="1">
      <alignment horizontal="center" vertical="center"/>
    </xf>
    <xf numFmtId="3" fontId="4" fillId="3" borderId="64" xfId="0" applyNumberFormat="1" applyFont="1" applyFill="1" applyBorder="1" applyAlignment="1">
      <alignment horizontal="center" vertical="center"/>
    </xf>
    <xf numFmtId="41" fontId="3" fillId="4" borderId="5" xfId="0" applyNumberFormat="1" applyFont="1" applyFill="1" applyBorder="1" applyAlignment="1">
      <alignment horizontal="right" vertical="center"/>
    </xf>
    <xf numFmtId="0" fontId="35" fillId="10" borderId="6" xfId="0" applyFont="1" applyFill="1" applyBorder="1" applyAlignment="1">
      <alignment horizontal="center" vertical="center"/>
    </xf>
    <xf numFmtId="0" fontId="32" fillId="3" borderId="66" xfId="0" applyFont="1" applyFill="1" applyBorder="1" applyAlignment="1">
      <alignment vertical="center"/>
    </xf>
    <xf numFmtId="0" fontId="33" fillId="3" borderId="67" xfId="0" applyFont="1" applyFill="1" applyBorder="1" applyAlignment="1">
      <alignment vertical="center"/>
    </xf>
    <xf numFmtId="0" fontId="33" fillId="3" borderId="68" xfId="0" applyFont="1" applyFill="1" applyBorder="1" applyAlignment="1">
      <alignment horizontal="left" vertical="center"/>
    </xf>
    <xf numFmtId="0" fontId="36" fillId="8" borderId="34" xfId="0" applyFont="1" applyFill="1" applyBorder="1"/>
    <xf numFmtId="0" fontId="1" fillId="8" borderId="23" xfId="0" applyFont="1" applyFill="1" applyBorder="1"/>
    <xf numFmtId="167" fontId="21" fillId="8" borderId="35" xfId="0" applyNumberFormat="1" applyFont="1" applyFill="1" applyBorder="1"/>
    <xf numFmtId="3" fontId="11" fillId="4" borderId="71" xfId="0" applyNumberFormat="1" applyFont="1" applyFill="1" applyBorder="1" applyAlignment="1">
      <alignment horizontal="center" vertical="center"/>
    </xf>
    <xf numFmtId="3" fontId="11" fillId="4" borderId="72" xfId="0" applyNumberFormat="1" applyFont="1" applyFill="1" applyBorder="1" applyAlignment="1">
      <alignment horizontal="center" vertical="center"/>
    </xf>
    <xf numFmtId="3" fontId="4" fillId="4" borderId="73" xfId="0" applyNumberFormat="1" applyFont="1" applyFill="1" applyBorder="1" applyAlignment="1">
      <alignment horizontal="center" vertical="center"/>
    </xf>
    <xf numFmtId="41" fontId="3" fillId="4" borderId="23" xfId="0" applyNumberFormat="1" applyFont="1" applyFill="1" applyBorder="1" applyAlignment="1">
      <alignment horizontal="right" vertical="center"/>
    </xf>
    <xf numFmtId="0" fontId="4" fillId="4" borderId="75" xfId="0" applyFont="1" applyFill="1" applyBorder="1" applyAlignment="1">
      <alignment vertical="center"/>
    </xf>
    <xf numFmtId="0" fontId="1" fillId="4" borderId="76" xfId="0" applyFont="1" applyFill="1" applyBorder="1"/>
    <xf numFmtId="166" fontId="13" fillId="4" borderId="76" xfId="0" applyNumberFormat="1" applyFont="1" applyFill="1" applyBorder="1" applyAlignment="1">
      <alignment horizontal="center" vertical="center"/>
    </xf>
    <xf numFmtId="167" fontId="11" fillId="4" borderId="77" xfId="0" applyNumberFormat="1" applyFont="1" applyFill="1" applyBorder="1"/>
    <xf numFmtId="3" fontId="11" fillId="0" borderId="49" xfId="0" applyNumberFormat="1" applyFont="1" applyBorder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center" vertical="center"/>
    </xf>
    <xf numFmtId="9" fontId="4" fillId="4" borderId="50" xfId="0" applyNumberFormat="1" applyFont="1" applyFill="1" applyBorder="1" applyAlignment="1">
      <alignment horizontal="right" vertical="center"/>
    </xf>
    <xf numFmtId="0" fontId="32" fillId="3" borderId="80" xfId="0" applyFont="1" applyFill="1" applyBorder="1" applyAlignment="1">
      <alignment vertical="center"/>
    </xf>
    <xf numFmtId="0" fontId="33" fillId="3" borderId="81" xfId="0" applyFont="1" applyFill="1" applyBorder="1" applyAlignment="1">
      <alignment vertical="center"/>
    </xf>
    <xf numFmtId="0" fontId="33" fillId="3" borderId="82" xfId="0" applyFont="1" applyFill="1" applyBorder="1" applyAlignment="1">
      <alignment horizontal="left" vertical="center"/>
    </xf>
    <xf numFmtId="0" fontId="2" fillId="0" borderId="85" xfId="0" applyFont="1" applyBorder="1"/>
    <xf numFmtId="0" fontId="20" fillId="0" borderId="86" xfId="0" applyFont="1" applyBorder="1" applyAlignment="1">
      <alignment vertical="center"/>
    </xf>
    <xf numFmtId="0" fontId="1" fillId="0" borderId="86" xfId="0" applyFont="1" applyBorder="1" applyAlignment="1">
      <alignment vertical="center"/>
    </xf>
    <xf numFmtId="166" fontId="1" fillId="0" borderId="86" xfId="0" applyNumberFormat="1" applyFont="1" applyBorder="1"/>
    <xf numFmtId="10" fontId="15" fillId="0" borderId="86" xfId="0" applyNumberFormat="1" applyFont="1" applyBorder="1"/>
    <xf numFmtId="0" fontId="1" fillId="0" borderId="86" xfId="0" applyFont="1" applyBorder="1"/>
    <xf numFmtId="0" fontId="3" fillId="0" borderId="87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96" xfId="0" applyFont="1" applyBorder="1" applyAlignment="1">
      <alignment vertical="center"/>
    </xf>
    <xf numFmtId="0" fontId="11" fillId="9" borderId="22" xfId="0" applyFont="1" applyFill="1" applyBorder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0" fillId="4" borderId="22" xfId="0" applyFont="1" applyFill="1" applyBorder="1" applyAlignment="1">
      <alignment horizontal="left" vertical="center"/>
    </xf>
    <xf numFmtId="0" fontId="20" fillId="4" borderId="22" xfId="0" applyFont="1" applyFill="1" applyBorder="1" applyAlignment="1">
      <alignment vertical="center"/>
    </xf>
    <xf numFmtId="0" fontId="41" fillId="9" borderId="22" xfId="0" applyFont="1" applyFill="1" applyBorder="1" applyAlignment="1">
      <alignment horizontal="left" vertical="center"/>
    </xf>
    <xf numFmtId="0" fontId="41" fillId="4" borderId="22" xfId="0" applyFont="1" applyFill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20" fillId="4" borderId="49" xfId="0" applyFont="1" applyFill="1" applyBorder="1" applyAlignment="1">
      <alignment vertical="center"/>
    </xf>
    <xf numFmtId="166" fontId="1" fillId="0" borderId="21" xfId="0" applyNumberFormat="1" applyFont="1" applyBorder="1" applyAlignment="1">
      <alignment horizontal="right" vertical="center"/>
    </xf>
    <xf numFmtId="1" fontId="17" fillId="0" borderId="21" xfId="0" applyNumberFormat="1" applyFont="1" applyBorder="1" applyAlignment="1">
      <alignment horizontal="center" vertical="center"/>
    </xf>
    <xf numFmtId="0" fontId="43" fillId="4" borderId="22" xfId="0" applyFont="1" applyFill="1" applyBorder="1" applyAlignment="1">
      <alignment horizontal="left" vertical="center"/>
    </xf>
    <xf numFmtId="164" fontId="1" fillId="0" borderId="52" xfId="0" applyNumberFormat="1" applyFont="1" applyBorder="1" applyAlignment="1">
      <alignment horizontal="right" vertical="center"/>
    </xf>
    <xf numFmtId="0" fontId="20" fillId="4" borderId="49" xfId="0" applyFont="1" applyFill="1" applyBorder="1" applyAlignment="1">
      <alignment horizontal="left" vertical="center"/>
    </xf>
    <xf numFmtId="0" fontId="41" fillId="4" borderId="23" xfId="0" applyFont="1" applyFill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10" fontId="22" fillId="0" borderId="23" xfId="0" applyNumberFormat="1" applyFont="1" applyBorder="1" applyAlignment="1">
      <alignment horizontal="center" vertical="center"/>
    </xf>
    <xf numFmtId="10" fontId="22" fillId="0" borderId="21" xfId="0" applyNumberFormat="1" applyFont="1" applyBorder="1" applyAlignment="1">
      <alignment horizontal="center" vertical="center"/>
    </xf>
    <xf numFmtId="0" fontId="20" fillId="0" borderId="113" xfId="0" applyFont="1" applyBorder="1" applyAlignment="1">
      <alignment horizontal="left" vertical="center"/>
    </xf>
    <xf numFmtId="0" fontId="1" fillId="0" borderId="113" xfId="0" applyFont="1" applyBorder="1" applyAlignment="1">
      <alignment horizontal="left" vertical="center"/>
    </xf>
    <xf numFmtId="165" fontId="1" fillId="0" borderId="113" xfId="0" applyNumberFormat="1" applyFont="1" applyBorder="1" applyAlignment="1">
      <alignment horizontal="center" vertical="center"/>
    </xf>
    <xf numFmtId="170" fontId="1" fillId="0" borderId="113" xfId="0" applyNumberFormat="1" applyFont="1" applyBorder="1" applyAlignment="1">
      <alignment horizontal="center" vertical="center"/>
    </xf>
    <xf numFmtId="173" fontId="11" fillId="0" borderId="5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5" fillId="0" borderId="0" xfId="0" applyFont="1"/>
    <xf numFmtId="174" fontId="3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/>
    <xf numFmtId="0" fontId="3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4" fillId="0" borderId="0" xfId="0" applyFont="1"/>
    <xf numFmtId="0" fontId="46" fillId="13" borderId="120" xfId="0" applyFont="1" applyFill="1" applyBorder="1" applyAlignment="1">
      <alignment horizontal="center" vertical="center"/>
    </xf>
    <xf numFmtId="0" fontId="1" fillId="13" borderId="121" xfId="0" applyFont="1" applyFill="1" applyBorder="1" applyAlignment="1">
      <alignment horizontal="left" vertical="center"/>
    </xf>
    <xf numFmtId="0" fontId="44" fillId="13" borderId="122" xfId="0" applyFont="1" applyFill="1" applyBorder="1" applyAlignment="1">
      <alignment vertical="center"/>
    </xf>
    <xf numFmtId="0" fontId="44" fillId="13" borderId="122" xfId="0" applyFont="1" applyFill="1" applyBorder="1" applyAlignment="1">
      <alignment horizontal="right" vertical="center"/>
    </xf>
    <xf numFmtId="0" fontId="4" fillId="13" borderId="127" xfId="0" applyFont="1" applyFill="1" applyBorder="1" applyAlignment="1">
      <alignment horizontal="center" vertical="center"/>
    </xf>
    <xf numFmtId="0" fontId="1" fillId="13" borderId="128" xfId="0" applyFont="1" applyFill="1" applyBorder="1" applyAlignment="1">
      <alignment horizontal="left" vertical="center"/>
    </xf>
    <xf numFmtId="0" fontId="44" fillId="13" borderId="129" xfId="0" applyFont="1" applyFill="1" applyBorder="1" applyAlignment="1">
      <alignment vertical="center"/>
    </xf>
    <xf numFmtId="0" fontId="44" fillId="13" borderId="129" xfId="0" applyFont="1" applyFill="1" applyBorder="1" applyAlignment="1">
      <alignment horizontal="right" vertical="center"/>
    </xf>
    <xf numFmtId="0" fontId="39" fillId="0" borderId="0" xfId="0" applyFont="1"/>
    <xf numFmtId="0" fontId="8" fillId="6" borderId="134" xfId="0" applyFont="1" applyFill="1" applyBorder="1" applyAlignment="1">
      <alignment horizontal="center" vertical="center"/>
    </xf>
    <xf numFmtId="0" fontId="48" fillId="6" borderId="135" xfId="0" applyFont="1" applyFill="1" applyBorder="1" applyAlignment="1">
      <alignment horizontal="center" vertical="center" wrapText="1"/>
    </xf>
    <xf numFmtId="0" fontId="48" fillId="6" borderId="135" xfId="0" applyFont="1" applyFill="1" applyBorder="1" applyAlignment="1">
      <alignment horizontal="center" vertical="center"/>
    </xf>
    <xf numFmtId="0" fontId="49" fillId="6" borderId="135" xfId="0" applyFont="1" applyFill="1" applyBorder="1" applyAlignment="1">
      <alignment horizontal="center" vertical="center" wrapText="1"/>
    </xf>
    <xf numFmtId="0" fontId="39" fillId="6" borderId="135" xfId="0" applyFont="1" applyFill="1" applyBorder="1" applyAlignment="1">
      <alignment horizontal="center" vertical="center" wrapText="1"/>
    </xf>
    <xf numFmtId="0" fontId="48" fillId="6" borderId="135" xfId="0" applyFont="1" applyFill="1" applyBorder="1" applyAlignment="1">
      <alignment horizontal="center" vertical="center" textRotation="90"/>
    </xf>
    <xf numFmtId="0" fontId="48" fillId="6" borderId="135" xfId="0" applyFont="1" applyFill="1" applyBorder="1" applyAlignment="1">
      <alignment horizontal="center" vertical="center" textRotation="90" wrapText="1"/>
    </xf>
    <xf numFmtId="0" fontId="39" fillId="6" borderId="135" xfId="0" applyFont="1" applyFill="1" applyBorder="1" applyAlignment="1">
      <alignment horizontal="center" vertical="center" textRotation="90"/>
    </xf>
    <xf numFmtId="0" fontId="8" fillId="6" borderId="135" xfId="0" applyFont="1" applyFill="1" applyBorder="1" applyAlignment="1">
      <alignment horizontal="center" vertical="center"/>
    </xf>
    <xf numFmtId="0" fontId="39" fillId="6" borderId="136" xfId="0" applyFont="1" applyFill="1" applyBorder="1" applyAlignment="1">
      <alignment horizontal="center" vertical="center" wrapText="1"/>
    </xf>
    <xf numFmtId="165" fontId="8" fillId="0" borderId="66" xfId="0" applyNumberFormat="1" applyFont="1" applyBorder="1" applyAlignment="1">
      <alignment horizontal="center" vertical="center"/>
    </xf>
    <xf numFmtId="1" fontId="1" fillId="0" borderId="113" xfId="0" applyNumberFormat="1" applyFont="1" applyBorder="1" applyAlignment="1">
      <alignment horizontal="right" vertical="center"/>
    </xf>
    <xf numFmtId="1" fontId="11" fillId="0" borderId="113" xfId="0" applyNumberFormat="1" applyFont="1" applyBorder="1" applyAlignment="1">
      <alignment horizontal="right" vertical="center"/>
    </xf>
    <xf numFmtId="1" fontId="8" fillId="0" borderId="113" xfId="0" applyNumberFormat="1" applyFont="1" applyBorder="1" applyAlignment="1">
      <alignment horizontal="right" vertical="center"/>
    </xf>
    <xf numFmtId="10" fontId="38" fillId="0" borderId="113" xfId="0" applyNumberFormat="1" applyFont="1" applyBorder="1"/>
    <xf numFmtId="10" fontId="37" fillId="0" borderId="137" xfId="0" applyNumberFormat="1" applyFont="1" applyBorder="1"/>
    <xf numFmtId="10" fontId="4" fillId="0" borderId="0" xfId="0" applyNumberFormat="1" applyFont="1"/>
    <xf numFmtId="1" fontId="44" fillId="0" borderId="0" xfId="0" applyNumberFormat="1" applyFont="1"/>
    <xf numFmtId="0" fontId="4" fillId="0" borderId="6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3" fontId="44" fillId="0" borderId="113" xfId="0" applyNumberFormat="1" applyFont="1" applyBorder="1"/>
    <xf numFmtId="0" fontId="44" fillId="0" borderId="113" xfId="0" applyFont="1" applyBorder="1"/>
    <xf numFmtId="0" fontId="50" fillId="0" borderId="66" xfId="0" applyFont="1" applyBorder="1" applyAlignment="1">
      <alignment horizontal="center" vertical="center"/>
    </xf>
    <xf numFmtId="1" fontId="37" fillId="0" borderId="113" xfId="0" applyNumberFormat="1" applyFont="1" applyBorder="1" applyAlignment="1">
      <alignment horizontal="right" vertical="center"/>
    </xf>
    <xf numFmtId="0" fontId="51" fillId="0" borderId="0" xfId="0" applyFont="1"/>
    <xf numFmtId="0" fontId="4" fillId="13" borderId="66" xfId="0" applyFont="1" applyFill="1" applyBorder="1" applyAlignment="1">
      <alignment horizontal="right" vertical="center" wrapText="1"/>
    </xf>
    <xf numFmtId="1" fontId="37" fillId="13" borderId="113" xfId="0" applyNumberFormat="1" applyFont="1" applyFill="1" applyBorder="1" applyAlignment="1">
      <alignment horizontal="right" vertical="center"/>
    </xf>
    <xf numFmtId="1" fontId="48" fillId="13" borderId="113" xfId="0" applyNumberFormat="1" applyFont="1" applyFill="1" applyBorder="1" applyAlignment="1">
      <alignment horizontal="right" vertical="center"/>
    </xf>
    <xf numFmtId="0" fontId="34" fillId="0" borderId="0" xfId="0" applyFont="1"/>
    <xf numFmtId="0" fontId="48" fillId="0" borderId="138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40" xfId="0" applyFont="1" applyBorder="1" applyAlignment="1">
      <alignment horizontal="right" vertical="center" wrapText="1"/>
    </xf>
    <xf numFmtId="0" fontId="1" fillId="0" borderId="43" xfId="0" applyFont="1" applyBorder="1"/>
    <xf numFmtId="0" fontId="4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1" fillId="13" borderId="122" xfId="0" applyFont="1" applyFill="1" applyBorder="1" applyAlignment="1">
      <alignment horizontal="center" vertical="center"/>
    </xf>
    <xf numFmtId="0" fontId="1" fillId="13" borderId="148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right" vertical="center"/>
    </xf>
    <xf numFmtId="164" fontId="20" fillId="0" borderId="23" xfId="0" applyNumberFormat="1" applyFont="1" applyBorder="1" applyAlignment="1">
      <alignment horizontal="right" vertical="center"/>
    </xf>
    <xf numFmtId="0" fontId="51" fillId="8" borderId="151" xfId="0" applyFont="1" applyFill="1" applyBorder="1" applyAlignment="1">
      <alignment horizontal="center"/>
    </xf>
    <xf numFmtId="0" fontId="1" fillId="0" borderId="23" xfId="0" applyFont="1" applyBorder="1" applyAlignment="1">
      <alignment horizontal="right" vertical="center"/>
    </xf>
    <xf numFmtId="0" fontId="51" fillId="8" borderId="156" xfId="0" applyFont="1" applyFill="1" applyBorder="1" applyAlignment="1">
      <alignment horizontal="center"/>
    </xf>
    <xf numFmtId="0" fontId="55" fillId="0" borderId="23" xfId="0" applyFont="1" applyBorder="1" applyAlignment="1">
      <alignment vertical="center"/>
    </xf>
    <xf numFmtId="0" fontId="54" fillId="0" borderId="23" xfId="0" applyFont="1" applyBorder="1" applyAlignment="1">
      <alignment horizontal="right" vertical="center"/>
    </xf>
    <xf numFmtId="0" fontId="51" fillId="8" borderId="161" xfId="0" applyFont="1" applyFill="1" applyBorder="1" applyAlignment="1">
      <alignment horizontal="center"/>
    </xf>
    <xf numFmtId="170" fontId="11" fillId="0" borderId="164" xfId="0" applyNumberFormat="1" applyFont="1" applyBorder="1" applyAlignment="1">
      <alignment horizontal="center" vertical="center"/>
    </xf>
    <xf numFmtId="166" fontId="1" fillId="0" borderId="98" xfId="0" applyNumberFormat="1" applyFont="1" applyBorder="1" applyAlignment="1">
      <alignment horizontal="right" vertical="center"/>
    </xf>
    <xf numFmtId="166" fontId="11" fillId="0" borderId="99" xfId="0" applyNumberFormat="1" applyFont="1" applyBorder="1" applyAlignment="1">
      <alignment horizontal="right" vertical="center"/>
    </xf>
    <xf numFmtId="0" fontId="56" fillId="0" borderId="23" xfId="0" applyFont="1" applyBorder="1" applyAlignment="1">
      <alignment horizontal="center" vertical="center"/>
    </xf>
    <xf numFmtId="170" fontId="11" fillId="0" borderId="166" xfId="0" applyNumberFormat="1" applyFont="1" applyBorder="1" applyAlignment="1">
      <alignment horizontal="center" vertical="center"/>
    </xf>
    <xf numFmtId="0" fontId="37" fillId="0" borderId="167" xfId="0" applyFont="1" applyBorder="1" applyAlignment="1">
      <alignment horizontal="left" vertical="center"/>
    </xf>
    <xf numFmtId="0" fontId="37" fillId="0" borderId="101" xfId="0" applyFont="1" applyBorder="1" applyAlignment="1">
      <alignment horizontal="right" vertical="center"/>
    </xf>
    <xf numFmtId="174" fontId="20" fillId="0" borderId="20" xfId="0" applyNumberFormat="1" applyFont="1" applyBorder="1" applyAlignment="1">
      <alignment horizontal="right" vertical="center"/>
    </xf>
    <xf numFmtId="166" fontId="1" fillId="0" borderId="20" xfId="0" applyNumberFormat="1" applyFont="1" applyBorder="1" applyAlignment="1">
      <alignment horizontal="right" vertical="center"/>
    </xf>
    <xf numFmtId="0" fontId="55" fillId="0" borderId="23" xfId="0" applyFont="1" applyBorder="1" applyAlignment="1">
      <alignment horizontal="right" vertical="center"/>
    </xf>
    <xf numFmtId="167" fontId="1" fillId="0" borderId="0" xfId="0" applyNumberFormat="1" applyFont="1" applyAlignment="1">
      <alignment vertical="center"/>
    </xf>
    <xf numFmtId="0" fontId="37" fillId="0" borderId="167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20" fillId="0" borderId="101" xfId="0" applyFont="1" applyBorder="1" applyAlignment="1">
      <alignment horizontal="right" vertical="center"/>
    </xf>
    <xf numFmtId="0" fontId="37" fillId="0" borderId="19" xfId="0" applyFont="1" applyBorder="1" applyAlignment="1">
      <alignment horizontal="left" vertical="center"/>
    </xf>
    <xf numFmtId="0" fontId="37" fillId="0" borderId="100" xfId="0" applyFont="1" applyBorder="1" applyAlignment="1">
      <alignment vertical="center"/>
    </xf>
    <xf numFmtId="166" fontId="1" fillId="0" borderId="23" xfId="0" applyNumberFormat="1" applyFont="1" applyBorder="1" applyAlignment="1">
      <alignment horizontal="right" vertical="center"/>
    </xf>
    <xf numFmtId="0" fontId="58" fillId="0" borderId="20" xfId="0" applyFont="1" applyBorder="1" applyAlignment="1">
      <alignment horizontal="right"/>
    </xf>
    <xf numFmtId="0" fontId="37" fillId="14" borderId="168" xfId="0" applyFont="1" applyFill="1" applyBorder="1" applyAlignment="1">
      <alignment horizontal="center" vertical="center"/>
    </xf>
    <xf numFmtId="0" fontId="37" fillId="0" borderId="20" xfId="0" applyFont="1" applyBorder="1" applyAlignment="1">
      <alignment vertical="center"/>
    </xf>
    <xf numFmtId="166" fontId="11" fillId="0" borderId="21" xfId="0" applyNumberFormat="1" applyFont="1" applyBorder="1" applyAlignment="1">
      <alignment horizontal="right" vertical="center"/>
    </xf>
    <xf numFmtId="0" fontId="37" fillId="0" borderId="165" xfId="0" applyFont="1" applyBorder="1" applyAlignment="1">
      <alignment vertical="center"/>
    </xf>
    <xf numFmtId="0" fontId="37" fillId="15" borderId="168" xfId="0" applyFont="1" applyFill="1" applyBorder="1" applyAlignment="1">
      <alignment horizontal="left" vertical="center"/>
    </xf>
    <xf numFmtId="0" fontId="37" fillId="15" borderId="168" xfId="0" applyFont="1" applyFill="1" applyBorder="1" applyAlignment="1">
      <alignment horizontal="right" vertical="center"/>
    </xf>
    <xf numFmtId="164" fontId="8" fillId="0" borderId="23" xfId="0" applyNumberFormat="1" applyFont="1" applyBorder="1" applyAlignment="1">
      <alignment horizontal="right" vertical="center"/>
    </xf>
    <xf numFmtId="0" fontId="44" fillId="0" borderId="0" xfId="0" applyFont="1" applyAlignment="1">
      <alignment vertical="center"/>
    </xf>
    <xf numFmtId="164" fontId="59" fillId="0" borderId="23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right" vertical="center"/>
    </xf>
    <xf numFmtId="175" fontId="20" fillId="0" borderId="20" xfId="0" applyNumberFormat="1" applyFont="1" applyBorder="1" applyAlignment="1">
      <alignment vertical="center"/>
    </xf>
    <xf numFmtId="0" fontId="60" fillId="7" borderId="169" xfId="0" applyFont="1" applyFill="1" applyBorder="1" applyAlignment="1">
      <alignment horizontal="center" vertical="center"/>
    </xf>
    <xf numFmtId="0" fontId="8" fillId="7" borderId="168" xfId="0" applyFont="1" applyFill="1" applyBorder="1" applyAlignment="1">
      <alignment vertical="center"/>
    </xf>
    <xf numFmtId="0" fontId="44" fillId="7" borderId="170" xfId="0" applyFont="1" applyFill="1" applyBorder="1" applyAlignment="1">
      <alignment vertical="center"/>
    </xf>
    <xf numFmtId="1" fontId="4" fillId="0" borderId="23" xfId="0" applyNumberFormat="1" applyFont="1" applyBorder="1" applyAlignment="1">
      <alignment vertical="center"/>
    </xf>
    <xf numFmtId="1" fontId="44" fillId="0" borderId="23" xfId="0" applyNumberFormat="1" applyFont="1" applyBorder="1" applyAlignment="1">
      <alignment vertical="center"/>
    </xf>
    <xf numFmtId="0" fontId="37" fillId="14" borderId="171" xfId="0" applyFont="1" applyFill="1" applyBorder="1" applyAlignment="1">
      <alignment horizontal="center" vertical="center"/>
    </xf>
    <xf numFmtId="0" fontId="15" fillId="0" borderId="0" xfId="0" applyFont="1"/>
    <xf numFmtId="0" fontId="8" fillId="0" borderId="167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61" fillId="0" borderId="23" xfId="0" applyFont="1" applyBorder="1" applyAlignment="1">
      <alignment horizontal="center" vertical="center"/>
    </xf>
    <xf numFmtId="0" fontId="62" fillId="0" borderId="23" xfId="0" applyFont="1" applyBorder="1" applyAlignment="1">
      <alignment horizontal="left" vertical="center"/>
    </xf>
    <xf numFmtId="1" fontId="63" fillId="0" borderId="23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0" fillId="0" borderId="20" xfId="0" applyFont="1" applyBorder="1" applyAlignment="1">
      <alignment vertical="center"/>
    </xf>
    <xf numFmtId="0" fontId="20" fillId="0" borderId="23" xfId="0" applyFont="1" applyBorder="1" applyAlignment="1">
      <alignment horizontal="left"/>
    </xf>
    <xf numFmtId="0" fontId="37" fillId="0" borderId="23" xfId="0" applyFont="1" applyBorder="1" applyAlignment="1">
      <alignment horizontal="left"/>
    </xf>
    <xf numFmtId="0" fontId="64" fillId="0" borderId="23" xfId="0" applyFont="1" applyBorder="1" applyAlignment="1">
      <alignment horizontal="center" vertical="center"/>
    </xf>
    <xf numFmtId="0" fontId="64" fillId="0" borderId="23" xfId="0" applyFont="1" applyBorder="1" applyAlignment="1">
      <alignment horizontal="left" vertical="center"/>
    </xf>
    <xf numFmtId="0" fontId="37" fillId="14" borderId="172" xfId="0" applyFont="1" applyFill="1" applyBorder="1" applyAlignment="1">
      <alignment horizontal="center" vertical="center"/>
    </xf>
    <xf numFmtId="0" fontId="48" fillId="0" borderId="101" xfId="0" applyFont="1" applyBorder="1" applyAlignment="1">
      <alignment vertical="center"/>
    </xf>
    <xf numFmtId="166" fontId="11" fillId="0" borderId="20" xfId="0" applyNumberFormat="1" applyFont="1" applyBorder="1" applyAlignment="1">
      <alignment horizontal="right" vertical="center"/>
    </xf>
    <xf numFmtId="166" fontId="11" fillId="14" borderId="21" xfId="0" applyNumberFormat="1" applyFont="1" applyFill="1" applyBorder="1" applyAlignment="1">
      <alignment horizontal="right" vertical="center"/>
    </xf>
    <xf numFmtId="0" fontId="27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37" fillId="0" borderId="32" xfId="0" applyFont="1" applyBorder="1" applyAlignment="1">
      <alignment vertical="center"/>
    </xf>
    <xf numFmtId="0" fontId="37" fillId="0" borderId="101" xfId="0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167" fontId="50" fillId="0" borderId="23" xfId="0" applyNumberFormat="1" applyFont="1" applyBorder="1" applyAlignment="1">
      <alignment horizontal="left" vertical="center"/>
    </xf>
    <xf numFmtId="167" fontId="1" fillId="0" borderId="23" xfId="0" applyNumberFormat="1" applyFont="1" applyBorder="1" applyAlignment="1">
      <alignment horizontal="left" vertical="center"/>
    </xf>
    <xf numFmtId="168" fontId="1" fillId="0" borderId="23" xfId="0" applyNumberFormat="1" applyFont="1" applyBorder="1" applyAlignment="1">
      <alignment horizontal="left" vertical="center"/>
    </xf>
    <xf numFmtId="0" fontId="65" fillId="0" borderId="167" xfId="0" applyFont="1" applyBorder="1" applyAlignment="1">
      <alignment horizontal="center"/>
    </xf>
    <xf numFmtId="166" fontId="1" fillId="0" borderId="0" xfId="0" applyNumberFormat="1" applyFont="1" applyAlignment="1">
      <alignment horizontal="right" vertical="center"/>
    </xf>
    <xf numFmtId="0" fontId="37" fillId="0" borderId="20" xfId="0" applyFont="1" applyBorder="1" applyAlignment="1">
      <alignment horizontal="left" vertical="center"/>
    </xf>
    <xf numFmtId="9" fontId="37" fillId="0" borderId="19" xfId="0" applyNumberFormat="1" applyFont="1" applyBorder="1"/>
    <xf numFmtId="9" fontId="37" fillId="0" borderId="20" xfId="0" applyNumberFormat="1" applyFont="1" applyBorder="1" applyAlignment="1">
      <alignment horizontal="right"/>
    </xf>
    <xf numFmtId="166" fontId="1" fillId="14" borderId="23" xfId="0" applyNumberFormat="1" applyFont="1" applyFill="1" applyBorder="1" applyAlignment="1">
      <alignment horizontal="right" vertical="center"/>
    </xf>
    <xf numFmtId="0" fontId="20" fillId="0" borderId="0" xfId="0" applyFont="1"/>
    <xf numFmtId="166" fontId="11" fillId="0" borderId="0" xfId="0" applyNumberFormat="1" applyFont="1" applyAlignment="1">
      <alignment horizontal="right" vertical="center"/>
    </xf>
    <xf numFmtId="0" fontId="37" fillId="14" borderId="171" xfId="0" applyFont="1" applyFill="1" applyBorder="1" applyAlignment="1">
      <alignment horizontal="left" vertical="center"/>
    </xf>
    <xf numFmtId="166" fontId="3" fillId="14" borderId="2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38" fillId="0" borderId="0" xfId="0" applyFont="1"/>
    <xf numFmtId="0" fontId="2" fillId="0" borderId="0" xfId="0" applyFont="1" applyAlignment="1">
      <alignment horizontal="center" vertical="center"/>
    </xf>
    <xf numFmtId="0" fontId="66" fillId="13" borderId="178" xfId="0" applyFont="1" applyFill="1" applyBorder="1" applyAlignment="1">
      <alignment vertical="center" wrapText="1"/>
    </xf>
    <xf numFmtId="0" fontId="66" fillId="13" borderId="179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2" fillId="0" borderId="0" xfId="0" applyFont="1"/>
    <xf numFmtId="0" fontId="71" fillId="0" borderId="113" xfId="0" applyFont="1" applyBorder="1" applyAlignment="1">
      <alignment horizontal="center" vertical="center" wrapText="1"/>
    </xf>
    <xf numFmtId="1" fontId="71" fillId="0" borderId="211" xfId="0" applyNumberFormat="1" applyFont="1" applyBorder="1" applyAlignment="1">
      <alignment horizontal="center" vertical="center"/>
    </xf>
    <xf numFmtId="0" fontId="71" fillId="0" borderId="107" xfId="0" applyFont="1" applyBorder="1" applyAlignment="1">
      <alignment horizontal="center" vertical="center"/>
    </xf>
    <xf numFmtId="1" fontId="71" fillId="0" borderId="215" xfId="0" applyNumberFormat="1" applyFont="1" applyBorder="1" applyAlignment="1">
      <alignment horizontal="center" vertical="center"/>
    </xf>
    <xf numFmtId="0" fontId="77" fillId="0" borderId="217" xfId="0" applyFont="1" applyBorder="1" applyAlignment="1">
      <alignment horizontal="center" vertical="center"/>
    </xf>
    <xf numFmtId="0" fontId="79" fillId="0" borderId="0" xfId="0" applyFont="1" applyAlignment="1">
      <alignment vertical="center"/>
    </xf>
    <xf numFmtId="175" fontId="70" fillId="0" borderId="144" xfId="0" applyNumberFormat="1" applyFont="1" applyBorder="1" applyAlignment="1">
      <alignment vertical="center"/>
    </xf>
    <xf numFmtId="175" fontId="80" fillId="0" borderId="0" xfId="0" applyNumberFormat="1" applyFont="1" applyAlignment="1">
      <alignment vertical="center"/>
    </xf>
    <xf numFmtId="175" fontId="70" fillId="0" borderId="106" xfId="0" applyNumberFormat="1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0" fontId="71" fillId="0" borderId="0" xfId="0" applyFont="1" applyAlignment="1">
      <alignment vertical="center"/>
    </xf>
    <xf numFmtId="166" fontId="43" fillId="0" borderId="211" xfId="0" applyNumberFormat="1" applyFont="1" applyBorder="1" applyAlignment="1">
      <alignment horizontal="right" vertical="center"/>
    </xf>
    <xf numFmtId="166" fontId="43" fillId="0" borderId="113" xfId="0" applyNumberFormat="1" applyFont="1" applyBorder="1" applyAlignment="1">
      <alignment horizontal="right" vertical="center"/>
    </xf>
    <xf numFmtId="166" fontId="43" fillId="0" borderId="106" xfId="0" applyNumberFormat="1" applyFont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166" fontId="43" fillId="0" borderId="137" xfId="0" applyNumberFormat="1" applyFont="1" applyBorder="1" applyAlignment="1">
      <alignment horizontal="right" vertical="center"/>
    </xf>
    <xf numFmtId="166" fontId="43" fillId="0" borderId="208" xfId="0" applyNumberFormat="1" applyFont="1" applyBorder="1" applyAlignment="1">
      <alignment horizontal="right" vertical="center"/>
    </xf>
    <xf numFmtId="166" fontId="81" fillId="0" borderId="0" xfId="0" applyNumberFormat="1" applyFont="1" applyAlignment="1">
      <alignment horizontal="right" vertical="center"/>
    </xf>
    <xf numFmtId="166" fontId="43" fillId="0" borderId="140" xfId="0" applyNumberFormat="1" applyFont="1" applyBorder="1" applyAlignment="1">
      <alignment horizontal="right" vertical="center"/>
    </xf>
    <xf numFmtId="0" fontId="71" fillId="0" borderId="113" xfId="0" applyFont="1" applyBorder="1" applyAlignment="1">
      <alignment horizontal="center" vertical="center"/>
    </xf>
    <xf numFmtId="166" fontId="43" fillId="0" borderId="139" xfId="0" applyNumberFormat="1" applyFont="1" applyBorder="1" applyAlignment="1">
      <alignment horizontal="right" vertical="center"/>
    </xf>
    <xf numFmtId="166" fontId="43" fillId="0" borderId="144" xfId="0" applyNumberFormat="1" applyFont="1" applyBorder="1" applyAlignment="1">
      <alignment horizontal="right" vertical="center"/>
    </xf>
    <xf numFmtId="166" fontId="82" fillId="0" borderId="0" xfId="0" applyNumberFormat="1" applyFont="1" applyAlignment="1">
      <alignment horizontal="right" vertical="center"/>
    </xf>
    <xf numFmtId="166" fontId="1" fillId="0" borderId="140" xfId="0" applyNumberFormat="1" applyFont="1" applyBorder="1" applyAlignment="1">
      <alignment horizontal="right"/>
    </xf>
    <xf numFmtId="3" fontId="83" fillId="0" borderId="0" xfId="0" applyNumberFormat="1" applyFont="1" applyAlignment="1">
      <alignment vertical="center"/>
    </xf>
    <xf numFmtId="166" fontId="1" fillId="0" borderId="106" xfId="0" applyNumberFormat="1" applyFont="1" applyBorder="1" applyAlignment="1">
      <alignment horizontal="right"/>
    </xf>
    <xf numFmtId="3" fontId="71" fillId="0" borderId="113" xfId="0" applyNumberFormat="1" applyFont="1" applyBorder="1" applyAlignment="1">
      <alignment horizontal="center" vertical="center"/>
    </xf>
    <xf numFmtId="3" fontId="8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center" vertical="center"/>
    </xf>
    <xf numFmtId="175" fontId="85" fillId="0" borderId="0" xfId="0" applyNumberFormat="1" applyFont="1" applyAlignment="1">
      <alignment horizontal="center" vertical="center"/>
    </xf>
    <xf numFmtId="3" fontId="71" fillId="0" borderId="0" xfId="0" applyNumberFormat="1" applyFont="1" applyAlignment="1">
      <alignment horizontal="right" vertical="center"/>
    </xf>
    <xf numFmtId="166" fontId="43" fillId="0" borderId="219" xfId="0" applyNumberFormat="1" applyFont="1" applyBorder="1" applyAlignment="1">
      <alignment horizontal="right" vertical="center"/>
    </xf>
    <xf numFmtId="0" fontId="71" fillId="0" borderId="214" xfId="0" applyFont="1" applyBorder="1" applyAlignment="1">
      <alignment vertical="center"/>
    </xf>
    <xf numFmtId="0" fontId="73" fillId="0" borderId="0" xfId="0" applyFont="1"/>
    <xf numFmtId="166" fontId="43" fillId="0" borderId="212" xfId="0" applyNumberFormat="1" applyFont="1" applyBorder="1" applyAlignment="1">
      <alignment horizontal="right" vertical="center"/>
    </xf>
    <xf numFmtId="3" fontId="71" fillId="0" borderId="0" xfId="0" applyNumberFormat="1" applyFont="1" applyAlignment="1">
      <alignment horizontal="left" vertical="center"/>
    </xf>
    <xf numFmtId="166" fontId="70" fillId="0" borderId="139" xfId="0" applyNumberFormat="1" applyFont="1" applyBorder="1" applyAlignment="1">
      <alignment horizontal="right" vertical="center"/>
    </xf>
    <xf numFmtId="166" fontId="70" fillId="0" borderId="213" xfId="0" applyNumberFormat="1" applyFont="1" applyBorder="1" applyAlignment="1">
      <alignment horizontal="right" vertical="center"/>
    </xf>
    <xf numFmtId="175" fontId="2" fillId="0" borderId="0" xfId="0" applyNumberFormat="1" applyFont="1"/>
    <xf numFmtId="0" fontId="87" fillId="0" borderId="0" xfId="0" applyFont="1" applyAlignment="1">
      <alignment vertical="center"/>
    </xf>
    <xf numFmtId="3" fontId="79" fillId="0" borderId="0" xfId="0" applyNumberFormat="1" applyFont="1" applyAlignment="1">
      <alignment vertical="center"/>
    </xf>
    <xf numFmtId="175" fontId="70" fillId="0" borderId="0" xfId="0" applyNumberFormat="1" applyFont="1" applyAlignment="1">
      <alignment vertical="center"/>
    </xf>
    <xf numFmtId="3" fontId="79" fillId="0" borderId="0" xfId="0" applyNumberFormat="1" applyFont="1" applyAlignment="1">
      <alignment horizontal="right" vertical="center"/>
    </xf>
    <xf numFmtId="0" fontId="88" fillId="0" borderId="0" xfId="0" applyFont="1" applyAlignment="1">
      <alignment vertical="center"/>
    </xf>
    <xf numFmtId="0" fontId="79" fillId="0" borderId="214" xfId="0" applyFont="1" applyBorder="1" applyAlignment="1">
      <alignment vertical="center"/>
    </xf>
    <xf numFmtId="175" fontId="70" fillId="0" borderId="219" xfId="0" applyNumberFormat="1" applyFont="1" applyBorder="1" applyAlignment="1">
      <alignment vertical="center"/>
    </xf>
    <xf numFmtId="166" fontId="70" fillId="0" borderId="219" xfId="0" applyNumberFormat="1" applyFont="1" applyBorder="1" applyAlignment="1">
      <alignment horizontal="right" vertical="center"/>
    </xf>
    <xf numFmtId="0" fontId="88" fillId="0" borderId="0" xfId="0" applyFont="1" applyAlignment="1">
      <alignment horizontal="left" vertical="center"/>
    </xf>
    <xf numFmtId="166" fontId="43" fillId="0" borderId="220" xfId="0" applyNumberFormat="1" applyFont="1" applyBorder="1" applyAlignment="1">
      <alignment horizontal="right" vertical="center"/>
    </xf>
    <xf numFmtId="0" fontId="91" fillId="0" borderId="208" xfId="0" applyFont="1" applyBorder="1" applyAlignment="1">
      <alignment horizontal="right" vertical="center"/>
    </xf>
    <xf numFmtId="0" fontId="91" fillId="0" borderId="107" xfId="0" applyFont="1" applyBorder="1" applyAlignment="1">
      <alignment horizontal="right" vertical="center"/>
    </xf>
    <xf numFmtId="0" fontId="77" fillId="0" borderId="222" xfId="0" applyFont="1" applyBorder="1" applyAlignment="1">
      <alignment horizontal="center" vertical="center"/>
    </xf>
    <xf numFmtId="166" fontId="43" fillId="0" borderId="84" xfId="0" applyNumberFormat="1" applyFont="1" applyBorder="1" applyAlignment="1">
      <alignment horizontal="right" vertical="center"/>
    </xf>
    <xf numFmtId="0" fontId="94" fillId="0" borderId="0" xfId="0" applyFont="1"/>
    <xf numFmtId="0" fontId="95" fillId="0" borderId="226" xfId="0" applyFont="1" applyBorder="1" applyAlignment="1">
      <alignment horizontal="center" vertical="center"/>
    </xf>
    <xf numFmtId="0" fontId="95" fillId="0" borderId="227" xfId="0" applyFont="1" applyBorder="1" applyAlignment="1">
      <alignment horizontal="left"/>
    </xf>
    <xf numFmtId="0" fontId="79" fillId="0" borderId="54" xfId="0" applyFont="1" applyBorder="1" applyAlignment="1">
      <alignment horizontal="left"/>
    </xf>
    <xf numFmtId="0" fontId="95" fillId="0" borderId="54" xfId="0" applyFont="1" applyBorder="1" applyAlignment="1">
      <alignment horizontal="center"/>
    </xf>
    <xf numFmtId="166" fontId="43" fillId="0" borderId="228" xfId="0" applyNumberFormat="1" applyFont="1" applyBorder="1" applyAlignment="1">
      <alignment vertical="center"/>
    </xf>
    <xf numFmtId="166" fontId="43" fillId="0" borderId="229" xfId="0" applyNumberFormat="1" applyFont="1" applyBorder="1" applyAlignment="1">
      <alignment vertical="center"/>
    </xf>
    <xf numFmtId="0" fontId="95" fillId="0" borderId="230" xfId="0" applyFont="1" applyBorder="1" applyAlignment="1">
      <alignment horizontal="center" vertical="center"/>
    </xf>
    <xf numFmtId="0" fontId="43" fillId="0" borderId="231" xfId="0" applyFont="1" applyBorder="1"/>
    <xf numFmtId="0" fontId="71" fillId="0" borderId="0" xfId="0" applyFont="1"/>
    <xf numFmtId="0" fontId="71" fillId="0" borderId="0" xfId="0" applyFont="1" applyAlignment="1">
      <alignment horizontal="center"/>
    </xf>
    <xf numFmtId="166" fontId="43" fillId="0" borderId="113" xfId="0" applyNumberFormat="1" applyFont="1" applyBorder="1" applyAlignment="1">
      <alignment vertical="center"/>
    </xf>
    <xf numFmtId="166" fontId="43" fillId="0" borderId="137" xfId="0" applyNumberFormat="1" applyFont="1" applyBorder="1" applyAlignment="1">
      <alignment vertical="center"/>
    </xf>
    <xf numFmtId="0" fontId="71" fillId="0" borderId="231" xfId="0" applyFont="1" applyBorder="1" applyAlignment="1">
      <alignment horizontal="left"/>
    </xf>
    <xf numFmtId="166" fontId="8" fillId="0" borderId="113" xfId="0" applyNumberFormat="1" applyFont="1" applyBorder="1" applyAlignment="1">
      <alignment horizontal="center" vertical="center"/>
    </xf>
    <xf numFmtId="0" fontId="71" fillId="0" borderId="0" xfId="0" applyFont="1" applyAlignment="1">
      <alignment horizontal="left"/>
    </xf>
    <xf numFmtId="0" fontId="68" fillId="0" borderId="231" xfId="0" applyFont="1" applyBorder="1" applyAlignment="1">
      <alignment horizontal="left"/>
    </xf>
    <xf numFmtId="9" fontId="71" fillId="0" borderId="0" xfId="0" applyNumberFormat="1" applyFont="1" applyAlignment="1">
      <alignment horizontal="left"/>
    </xf>
    <xf numFmtId="0" fontId="96" fillId="0" borderId="214" xfId="0" applyFont="1" applyBorder="1" applyAlignment="1">
      <alignment horizontal="left"/>
    </xf>
    <xf numFmtId="0" fontId="96" fillId="0" borderId="0" xfId="0" applyFont="1" applyAlignment="1">
      <alignment horizontal="left"/>
    </xf>
    <xf numFmtId="0" fontId="73" fillId="0" borderId="105" xfId="0" applyFont="1" applyBorder="1" applyAlignment="1">
      <alignment horizontal="center" vertical="center"/>
    </xf>
    <xf numFmtId="0" fontId="71" fillId="0" borderId="233" xfId="0" applyFont="1" applyBorder="1" applyAlignment="1">
      <alignment horizontal="left"/>
    </xf>
    <xf numFmtId="0" fontId="71" fillId="0" borderId="230" xfId="0" applyFont="1" applyBorder="1" applyAlignment="1">
      <alignment horizontal="center" vertical="center"/>
    </xf>
    <xf numFmtId="0" fontId="95" fillId="0" borderId="234" xfId="0" applyFont="1" applyBorder="1" applyAlignment="1">
      <alignment horizontal="center" vertical="center"/>
    </xf>
    <xf numFmtId="166" fontId="41" fillId="0" borderId="113" xfId="0" applyNumberFormat="1" applyFont="1" applyBorder="1" applyAlignment="1">
      <alignment horizontal="center" vertical="center"/>
    </xf>
    <xf numFmtId="170" fontId="95" fillId="0" borderId="138" xfId="0" applyNumberFormat="1" applyFont="1" applyBorder="1" applyAlignment="1">
      <alignment horizontal="center" vertical="center"/>
    </xf>
    <xf numFmtId="165" fontId="71" fillId="0" borderId="113" xfId="0" applyNumberFormat="1" applyFont="1" applyBorder="1" applyAlignment="1">
      <alignment vertical="center"/>
    </xf>
    <xf numFmtId="1" fontId="78" fillId="0" borderId="113" xfId="0" applyNumberFormat="1" applyFont="1" applyBorder="1" applyAlignment="1">
      <alignment vertical="center"/>
    </xf>
    <xf numFmtId="49" fontId="74" fillId="0" borderId="113" xfId="0" applyNumberFormat="1" applyFont="1" applyBorder="1" applyAlignment="1">
      <alignment horizontal="center" vertical="center"/>
    </xf>
    <xf numFmtId="176" fontId="79" fillId="0" borderId="113" xfId="0" applyNumberFormat="1" applyFont="1" applyBorder="1" applyAlignment="1">
      <alignment horizontal="center" vertical="center"/>
    </xf>
    <xf numFmtId="49" fontId="74" fillId="0" borderId="137" xfId="0" applyNumberFormat="1" applyFont="1" applyBorder="1" applyAlignment="1">
      <alignment horizontal="center" vertical="center"/>
    </xf>
    <xf numFmtId="170" fontId="95" fillId="0" borderId="207" xfId="0" applyNumberFormat="1" applyFont="1" applyBorder="1" applyAlignment="1">
      <alignment horizontal="center" vertical="center"/>
    </xf>
    <xf numFmtId="170" fontId="95" fillId="0" borderId="237" xfId="0" applyNumberFormat="1" applyFont="1" applyBorder="1" applyAlignment="1">
      <alignment horizontal="center" vertical="center"/>
    </xf>
    <xf numFmtId="0" fontId="97" fillId="0" borderId="207" xfId="0" applyFont="1" applyBorder="1" applyAlignment="1">
      <alignment vertical="center"/>
    </xf>
    <xf numFmtId="0" fontId="97" fillId="0" borderId="113" xfId="0" applyFont="1" applyBorder="1" applyAlignment="1">
      <alignment horizontal="center" vertical="center"/>
    </xf>
    <xf numFmtId="0" fontId="98" fillId="0" borderId="105" xfId="0" applyFont="1" applyBorder="1" applyAlignment="1">
      <alignment vertical="center"/>
    </xf>
    <xf numFmtId="167" fontId="50" fillId="0" borderId="139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99" fillId="0" borderId="139" xfId="0" applyFont="1" applyBorder="1" applyAlignment="1">
      <alignment horizontal="center" vertical="center"/>
    </xf>
    <xf numFmtId="0" fontId="2" fillId="0" borderId="0" xfId="0" applyFont="1"/>
    <xf numFmtId="0" fontId="2" fillId="0" borderId="140" xfId="0" applyFont="1" applyBorder="1"/>
    <xf numFmtId="0" fontId="97" fillId="0" borderId="105" xfId="0" applyFont="1" applyBorder="1"/>
    <xf numFmtId="0" fontId="101" fillId="0" borderId="105" xfId="0" applyFont="1" applyBorder="1" applyAlignment="1">
      <alignment vertical="center"/>
    </xf>
    <xf numFmtId="0" fontId="101" fillId="0" borderId="105" xfId="0" applyFont="1" applyBorder="1"/>
    <xf numFmtId="0" fontId="50" fillId="0" borderId="105" xfId="0" applyFont="1" applyBorder="1"/>
    <xf numFmtId="0" fontId="50" fillId="0" borderId="0" xfId="0" applyFont="1"/>
    <xf numFmtId="0" fontId="102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106" xfId="0" applyFont="1" applyBorder="1" applyAlignment="1">
      <alignment vertical="center"/>
    </xf>
    <xf numFmtId="0" fontId="103" fillId="0" borderId="105" xfId="0" applyFont="1" applyBorder="1" applyAlignment="1">
      <alignment vertical="center"/>
    </xf>
    <xf numFmtId="0" fontId="73" fillId="0" borderId="0" xfId="0" applyFont="1" applyAlignment="1">
      <alignment horizontal="right" vertical="center"/>
    </xf>
    <xf numFmtId="0" fontId="104" fillId="0" borderId="105" xfId="0" applyFont="1" applyBorder="1"/>
    <xf numFmtId="0" fontId="104" fillId="0" borderId="0" xfId="0" applyFont="1"/>
    <xf numFmtId="178" fontId="105" fillId="0" borderId="0" xfId="0" applyNumberFormat="1" applyFont="1"/>
    <xf numFmtId="178" fontId="105" fillId="0" borderId="0" xfId="0" applyNumberFormat="1" applyFont="1" applyAlignment="1">
      <alignment horizontal="left"/>
    </xf>
    <xf numFmtId="0" fontId="106" fillId="0" borderId="0" xfId="0" applyFont="1" applyAlignment="1">
      <alignment horizontal="right" vertical="center"/>
    </xf>
    <xf numFmtId="41" fontId="103" fillId="0" borderId="0" xfId="0" applyNumberFormat="1" applyFont="1" applyAlignment="1">
      <alignment horizontal="left" vertical="center"/>
    </xf>
    <xf numFmtId="41" fontId="103" fillId="0" borderId="106" xfId="0" applyNumberFormat="1" applyFont="1" applyBorder="1" applyAlignment="1">
      <alignment horizontal="left" vertical="center"/>
    </xf>
    <xf numFmtId="0" fontId="74" fillId="0" borderId="238" xfId="0" applyFont="1" applyBorder="1" applyAlignment="1">
      <alignment horizontal="right" vertical="center"/>
    </xf>
    <xf numFmtId="0" fontId="74" fillId="0" borderId="40" xfId="0" applyFont="1" applyBorder="1" applyAlignment="1">
      <alignment horizontal="right" vertical="center"/>
    </xf>
    <xf numFmtId="0" fontId="109" fillId="0" borderId="105" xfId="0" applyFont="1" applyBorder="1" applyAlignment="1">
      <alignment vertical="center" wrapText="1"/>
    </xf>
    <xf numFmtId="0" fontId="109" fillId="0" borderId="106" xfId="0" applyFont="1" applyBorder="1" applyAlignment="1">
      <alignment vertical="center" wrapText="1"/>
    </xf>
    <xf numFmtId="0" fontId="110" fillId="0" borderId="105" xfId="0" applyFont="1" applyBorder="1" applyAlignment="1">
      <alignment vertical="center"/>
    </xf>
    <xf numFmtId="0" fontId="73" fillId="0" borderId="106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110" fillId="0" borderId="0" xfId="0" applyFont="1" applyAlignment="1">
      <alignment vertical="center"/>
    </xf>
    <xf numFmtId="0" fontId="110" fillId="0" borderId="106" xfId="0" applyFont="1" applyBorder="1" applyAlignment="1">
      <alignment vertical="center"/>
    </xf>
    <xf numFmtId="0" fontId="103" fillId="0" borderId="0" xfId="0" applyFont="1" applyAlignment="1">
      <alignment horizontal="center" vertical="center"/>
    </xf>
    <xf numFmtId="0" fontId="49" fillId="0" borderId="105" xfId="0" applyFont="1" applyBorder="1" applyAlignment="1">
      <alignment vertical="center"/>
    </xf>
    <xf numFmtId="0" fontId="52" fillId="0" borderId="10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06" xfId="0" applyFont="1" applyBorder="1" applyAlignment="1">
      <alignment horizontal="center" vertical="center" wrapText="1"/>
    </xf>
    <xf numFmtId="0" fontId="110" fillId="0" borderId="40" xfId="0" applyFont="1" applyBorder="1" applyAlignment="1">
      <alignment vertical="center"/>
    </xf>
    <xf numFmtId="0" fontId="110" fillId="0" borderId="55" xfId="0" applyFont="1" applyBorder="1" applyAlignment="1">
      <alignment vertical="center"/>
    </xf>
    <xf numFmtId="0" fontId="110" fillId="0" borderId="43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103" fillId="13" borderId="66" xfId="0" applyFont="1" applyFill="1" applyBorder="1" applyAlignment="1">
      <alignment horizontal="center" vertical="center"/>
    </xf>
    <xf numFmtId="0" fontId="103" fillId="13" borderId="113" xfId="0" applyFont="1" applyFill="1" applyBorder="1" applyAlignment="1">
      <alignment horizontal="center" vertical="center" wrapText="1"/>
    </xf>
    <xf numFmtId="0" fontId="103" fillId="13" borderId="137" xfId="0" applyFont="1" applyFill="1" applyBorder="1" applyAlignment="1">
      <alignment horizontal="center" vertical="center" wrapText="1"/>
    </xf>
    <xf numFmtId="0" fontId="117" fillId="0" borderId="66" xfId="0" quotePrefix="1" applyFont="1" applyBorder="1" applyAlignment="1">
      <alignment horizontal="center" vertical="center" wrapText="1"/>
    </xf>
    <xf numFmtId="0" fontId="117" fillId="0" borderId="113" xfId="0" quotePrefix="1" applyFont="1" applyBorder="1" applyAlignment="1">
      <alignment horizontal="center" vertical="center" wrapText="1"/>
    </xf>
    <xf numFmtId="0" fontId="117" fillId="0" borderId="137" xfId="0" quotePrefix="1" applyFont="1" applyBorder="1" applyAlignment="1">
      <alignment horizontal="center" vertical="center" wrapText="1"/>
    </xf>
    <xf numFmtId="0" fontId="106" fillId="0" borderId="243" xfId="0" applyFont="1" applyBorder="1" applyAlignment="1">
      <alignment horizontal="center" vertical="center" wrapText="1"/>
    </xf>
    <xf numFmtId="0" fontId="103" fillId="0" borderId="245" xfId="0" applyFont="1" applyBorder="1" applyAlignment="1">
      <alignment horizontal="right" vertical="top" wrapText="1"/>
    </xf>
    <xf numFmtId="0" fontId="103" fillId="0" borderId="73" xfId="0" applyFont="1" applyBorder="1" applyAlignment="1">
      <alignment horizontal="right" vertical="top" wrapText="1"/>
    </xf>
    <xf numFmtId="0" fontId="106" fillId="0" borderId="246" xfId="0" applyFont="1" applyBorder="1" applyAlignment="1">
      <alignment horizontal="center" vertical="center" wrapText="1"/>
    </xf>
    <xf numFmtId="175" fontId="103" fillId="0" borderId="23" xfId="0" applyNumberFormat="1" applyFont="1" applyBorder="1" applyAlignment="1">
      <alignment horizontal="right" vertical="top" wrapText="1"/>
    </xf>
    <xf numFmtId="0" fontId="103" fillId="0" borderId="21" xfId="0" applyFont="1" applyBorder="1" applyAlignment="1">
      <alignment horizontal="right" vertical="top" wrapText="1"/>
    </xf>
    <xf numFmtId="44" fontId="73" fillId="0" borderId="247" xfId="0" applyNumberFormat="1" applyFont="1" applyBorder="1" applyAlignment="1">
      <alignment horizontal="left" vertical="top"/>
    </xf>
    <xf numFmtId="44" fontId="73" fillId="0" borderId="170" xfId="0" applyNumberFormat="1" applyFont="1" applyBorder="1" applyAlignment="1">
      <alignment horizontal="left" vertical="top"/>
    </xf>
    <xf numFmtId="44" fontId="73" fillId="0" borderId="169" xfId="0" applyNumberFormat="1" applyFont="1" applyBorder="1" applyAlignment="1">
      <alignment horizontal="left" vertical="top"/>
    </xf>
    <xf numFmtId="44" fontId="103" fillId="0" borderId="19" xfId="0" applyNumberFormat="1" applyFont="1" applyBorder="1" applyAlignment="1">
      <alignment horizontal="left" vertical="top"/>
    </xf>
    <xf numFmtId="44" fontId="103" fillId="0" borderId="102" xfId="0" applyNumberFormat="1" applyFont="1" applyBorder="1" applyAlignment="1">
      <alignment horizontal="left" vertical="top"/>
    </xf>
    <xf numFmtId="0" fontId="106" fillId="0" borderId="134" xfId="0" applyFont="1" applyBorder="1" applyAlignment="1">
      <alignment horizontal="center" vertical="center" wrapText="1"/>
    </xf>
    <xf numFmtId="0" fontId="106" fillId="0" borderId="66" xfId="0" applyFont="1" applyBorder="1" applyAlignment="1">
      <alignment horizontal="center" vertical="center" wrapText="1"/>
    </xf>
    <xf numFmtId="179" fontId="103" fillId="0" borderId="250" xfId="0" applyNumberFormat="1" applyFont="1" applyBorder="1" applyAlignment="1">
      <alignment horizontal="right" vertical="top" wrapText="1"/>
    </xf>
    <xf numFmtId="0" fontId="103" fillId="0" borderId="251" xfId="0" applyFont="1" applyBorder="1" applyAlignment="1">
      <alignment horizontal="right" vertical="top" wrapText="1"/>
    </xf>
    <xf numFmtId="175" fontId="103" fillId="0" borderId="72" xfId="0" applyNumberFormat="1" applyFont="1" applyBorder="1" applyAlignment="1">
      <alignment horizontal="right" vertical="top" wrapText="1"/>
    </xf>
    <xf numFmtId="166" fontId="103" fillId="0" borderId="23" xfId="0" applyNumberFormat="1" applyFont="1" applyBorder="1" applyAlignment="1">
      <alignment horizontal="right" vertical="center" wrapText="1"/>
    </xf>
    <xf numFmtId="0" fontId="103" fillId="0" borderId="21" xfId="0" applyFont="1" applyBorder="1" applyAlignment="1">
      <alignment horizontal="right" vertical="top"/>
    </xf>
    <xf numFmtId="166" fontId="103" fillId="0" borderId="255" xfId="0" applyNumberFormat="1" applyFont="1" applyBorder="1" applyAlignment="1">
      <alignment horizontal="right" vertical="center" wrapText="1"/>
    </xf>
    <xf numFmtId="0" fontId="103" fillId="0" borderId="256" xfId="0" applyFont="1" applyBorder="1" applyAlignment="1">
      <alignment horizontal="right" vertical="top"/>
    </xf>
    <xf numFmtId="166" fontId="103" fillId="0" borderId="72" xfId="0" applyNumberFormat="1" applyFont="1" applyBorder="1" applyAlignment="1">
      <alignment horizontal="right" vertical="center" wrapText="1"/>
    </xf>
    <xf numFmtId="0" fontId="103" fillId="0" borderId="73" xfId="0" applyFont="1" applyBorder="1" applyAlignment="1">
      <alignment horizontal="right" vertical="top"/>
    </xf>
    <xf numFmtId="0" fontId="73" fillId="0" borderId="247" xfId="0" applyFont="1" applyBorder="1" applyAlignment="1">
      <alignment horizontal="right" vertical="top" wrapText="1"/>
    </xf>
    <xf numFmtId="0" fontId="73" fillId="0" borderId="169" xfId="0" applyFont="1" applyBorder="1" applyAlignment="1">
      <alignment horizontal="left" wrapText="1"/>
    </xf>
    <xf numFmtId="41" fontId="73" fillId="0" borderId="170" xfId="0" applyNumberFormat="1" applyFont="1" applyBorder="1" applyAlignment="1">
      <alignment wrapText="1"/>
    </xf>
    <xf numFmtId="0" fontId="106" fillId="0" borderId="21" xfId="0" applyFont="1" applyBorder="1" applyAlignment="1">
      <alignment horizontal="right"/>
    </xf>
    <xf numFmtId="41" fontId="73" fillId="0" borderId="169" xfId="0" applyNumberFormat="1" applyFont="1" applyBorder="1" applyAlignment="1">
      <alignment horizontal="left" wrapText="1"/>
    </xf>
    <xf numFmtId="41" fontId="73" fillId="0" borderId="170" xfId="0" applyNumberFormat="1" applyFont="1" applyBorder="1" applyAlignment="1">
      <alignment horizontal="left"/>
    </xf>
    <xf numFmtId="0" fontId="73" fillId="0" borderId="168" xfId="0" applyFont="1" applyBorder="1" applyAlignment="1">
      <alignment horizontal="left" wrapText="1"/>
    </xf>
    <xf numFmtId="0" fontId="106" fillId="0" borderId="21" xfId="0" applyFont="1" applyBorder="1" applyAlignment="1">
      <alignment horizontal="right" vertical="top"/>
    </xf>
    <xf numFmtId="0" fontId="73" fillId="0" borderId="247" xfId="0" applyFont="1" applyBorder="1" applyAlignment="1">
      <alignment horizontal="center" vertical="top" wrapText="1"/>
    </xf>
    <xf numFmtId="0" fontId="73" fillId="0" borderId="169" xfId="0" applyFont="1" applyBorder="1" applyAlignment="1">
      <alignment wrapText="1"/>
    </xf>
    <xf numFmtId="0" fontId="73" fillId="0" borderId="170" xfId="0" applyFont="1" applyBorder="1" applyAlignment="1">
      <alignment wrapText="1"/>
    </xf>
    <xf numFmtId="0" fontId="118" fillId="0" borderId="169" xfId="0" applyFont="1" applyBorder="1"/>
    <xf numFmtId="0" fontId="73" fillId="0" borderId="257" xfId="0" applyFont="1" applyBorder="1" applyAlignment="1">
      <alignment horizontal="center" vertical="top" wrapText="1"/>
    </xf>
    <xf numFmtId="0" fontId="73" fillId="0" borderId="258" xfId="0" applyFont="1" applyBorder="1"/>
    <xf numFmtId="0" fontId="73" fillId="0" borderId="259" xfId="0" applyFont="1" applyBorder="1"/>
    <xf numFmtId="166" fontId="103" fillId="0" borderId="260" xfId="0" applyNumberFormat="1" applyFont="1" applyBorder="1" applyAlignment="1">
      <alignment horizontal="right" vertical="center" wrapText="1"/>
    </xf>
    <xf numFmtId="0" fontId="106" fillId="0" borderId="261" xfId="0" applyFont="1" applyBorder="1" applyAlignment="1">
      <alignment horizontal="right"/>
    </xf>
    <xf numFmtId="0" fontId="1" fillId="0" borderId="262" xfId="0" applyFont="1" applyBorder="1" applyAlignment="1">
      <alignment vertical="center" wrapText="1"/>
    </xf>
    <xf numFmtId="0" fontId="38" fillId="0" borderId="0" xfId="0" applyFont="1" applyAlignment="1">
      <alignment horizontal="left" vertical="center"/>
    </xf>
    <xf numFmtId="167" fontId="120" fillId="0" borderId="266" xfId="0" applyNumberFormat="1" applyFont="1" applyBorder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120" fillId="0" borderId="26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10" borderId="267" xfId="0" applyFont="1" applyFill="1" applyBorder="1" applyAlignment="1">
      <alignment horizontal="center" vertical="center"/>
    </xf>
    <xf numFmtId="165" fontId="1" fillId="10" borderId="267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62" fillId="0" borderId="23" xfId="0" applyNumberFormat="1" applyFont="1" applyBorder="1" applyAlignment="1">
      <alignment horizontal="right" vertical="center"/>
    </xf>
    <xf numFmtId="165" fontId="63" fillId="0" borderId="2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left" vertical="center"/>
    </xf>
    <xf numFmtId="0" fontId="12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167" fontId="122" fillId="0" borderId="113" xfId="0" applyNumberFormat="1" applyFont="1" applyBorder="1" applyAlignment="1">
      <alignment horizontal="left" vertical="center"/>
    </xf>
    <xf numFmtId="168" fontId="123" fillId="0" borderId="113" xfId="0" applyNumberFormat="1" applyFont="1" applyBorder="1" applyAlignment="1">
      <alignment horizontal="center" vertical="center"/>
    </xf>
    <xf numFmtId="167" fontId="120" fillId="0" borderId="113" xfId="0" applyNumberFormat="1" applyFont="1" applyBorder="1" applyAlignment="1">
      <alignment horizontal="right" vertical="center"/>
    </xf>
    <xf numFmtId="167" fontId="120" fillId="0" borderId="268" xfId="0" applyNumberFormat="1" applyFont="1" applyBorder="1" applyAlignment="1">
      <alignment vertical="center"/>
    </xf>
    <xf numFmtId="0" fontId="120" fillId="0" borderId="0" xfId="0" applyFont="1"/>
    <xf numFmtId="0" fontId="17" fillId="0" borderId="113" xfId="0" applyFont="1" applyBorder="1" applyAlignment="1">
      <alignment horizontal="center" vertical="center"/>
    </xf>
    <xf numFmtId="0" fontId="15" fillId="0" borderId="28" xfId="0" applyFont="1" applyBorder="1"/>
    <xf numFmtId="0" fontId="1" fillId="0" borderId="98" xfId="0" applyFont="1" applyBorder="1" applyAlignment="1">
      <alignment horizontal="center" vertical="center"/>
    </xf>
    <xf numFmtId="165" fontId="1" fillId="4" borderId="72" xfId="0" applyNumberFormat="1" applyFont="1" applyFill="1" applyBorder="1" applyAlignment="1">
      <alignment horizontal="center" vertical="center"/>
    </xf>
    <xf numFmtId="0" fontId="1" fillId="4" borderId="72" xfId="0" applyFont="1" applyFill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267" xfId="0" applyNumberFormat="1" applyFont="1" applyBorder="1" applyAlignment="1">
      <alignment horizontal="right" vertical="center"/>
    </xf>
    <xf numFmtId="0" fontId="11" fillId="0" borderId="267" xfId="0" applyFont="1" applyBorder="1" applyAlignment="1">
      <alignment horizontal="center" vertical="center"/>
    </xf>
    <xf numFmtId="1" fontId="1" fillId="0" borderId="267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horizontal="right" vertical="center"/>
    </xf>
    <xf numFmtId="181" fontId="1" fillId="0" borderId="23" xfId="0" applyNumberFormat="1" applyFont="1" applyBorder="1" applyAlignment="1">
      <alignment vertical="center"/>
    </xf>
    <xf numFmtId="10" fontId="1" fillId="0" borderId="23" xfId="0" applyNumberFormat="1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165" fontId="20" fillId="0" borderId="23" xfId="0" applyNumberFormat="1" applyFont="1" applyBorder="1" applyAlignment="1">
      <alignment horizontal="right" vertical="center"/>
    </xf>
    <xf numFmtId="0" fontId="38" fillId="0" borderId="23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/>
    </xf>
    <xf numFmtId="0" fontId="1" fillId="0" borderId="113" xfId="0" applyFont="1" applyBorder="1" applyAlignment="1">
      <alignment horizontal="center" vertical="center"/>
    </xf>
    <xf numFmtId="0" fontId="1" fillId="4" borderId="113" xfId="0" applyFont="1" applyFill="1" applyBorder="1" applyAlignment="1">
      <alignment horizontal="center" vertical="center"/>
    </xf>
    <xf numFmtId="165" fontId="63" fillId="0" borderId="98" xfId="0" applyNumberFormat="1" applyFont="1" applyBorder="1" applyAlignment="1">
      <alignment horizontal="center" vertical="center"/>
    </xf>
    <xf numFmtId="0" fontId="63" fillId="0" borderId="98" xfId="0" applyFont="1" applyBorder="1" applyAlignment="1">
      <alignment horizontal="center" vertical="center"/>
    </xf>
    <xf numFmtId="0" fontId="15" fillId="0" borderId="23" xfId="0" applyFont="1" applyBorder="1"/>
    <xf numFmtId="165" fontId="62" fillId="0" borderId="23" xfId="0" applyNumberFormat="1" applyFont="1" applyBorder="1" applyAlignment="1">
      <alignment horizontal="center" vertical="center"/>
    </xf>
    <xf numFmtId="181" fontId="1" fillId="0" borderId="23" xfId="0" applyNumberFormat="1" applyFont="1" applyBorder="1" applyAlignment="1">
      <alignment horizontal="right" vertical="center"/>
    </xf>
    <xf numFmtId="165" fontId="20" fillId="4" borderId="23" xfId="0" applyNumberFormat="1" applyFont="1" applyFill="1" applyBorder="1" applyAlignment="1">
      <alignment horizontal="center" vertical="center"/>
    </xf>
    <xf numFmtId="182" fontId="1" fillId="4" borderId="113" xfId="0" applyNumberFormat="1" applyFont="1" applyFill="1" applyBorder="1" applyAlignment="1">
      <alignment horizontal="center" vertical="center"/>
    </xf>
    <xf numFmtId="181" fontId="1" fillId="0" borderId="98" xfId="0" applyNumberFormat="1" applyFont="1" applyBorder="1" applyAlignment="1">
      <alignment horizontal="right" vertical="center"/>
    </xf>
    <xf numFmtId="167" fontId="51" fillId="0" borderId="269" xfId="0" applyNumberFormat="1" applyFont="1" applyBorder="1" applyAlignment="1">
      <alignment vertical="center"/>
    </xf>
    <xf numFmtId="167" fontId="120" fillId="0" borderId="113" xfId="0" applyNumberFormat="1" applyFont="1" applyBorder="1" applyAlignment="1">
      <alignment vertical="center"/>
    </xf>
    <xf numFmtId="167" fontId="120" fillId="0" borderId="270" xfId="0" applyNumberFormat="1" applyFont="1" applyBorder="1" applyAlignment="1">
      <alignment vertical="center"/>
    </xf>
    <xf numFmtId="0" fontId="120" fillId="0" borderId="113" xfId="0" applyFont="1" applyBorder="1" applyAlignment="1">
      <alignment vertical="center"/>
    </xf>
    <xf numFmtId="167" fontId="120" fillId="0" borderId="271" xfId="0" applyNumberFormat="1" applyFont="1" applyBorder="1" applyAlignment="1">
      <alignment vertical="center"/>
    </xf>
    <xf numFmtId="171" fontId="1" fillId="4" borderId="113" xfId="0" applyNumberFormat="1" applyFont="1" applyFill="1" applyBorder="1" applyAlignment="1">
      <alignment horizontal="center" vertical="center"/>
    </xf>
    <xf numFmtId="165" fontId="1" fillId="3" borderId="23" xfId="0" applyNumberFormat="1" applyFont="1" applyFill="1" applyBorder="1" applyAlignment="1">
      <alignment horizontal="right" vertical="center"/>
    </xf>
    <xf numFmtId="9" fontId="11" fillId="4" borderId="267" xfId="0" applyNumberFormat="1" applyFont="1" applyFill="1" applyBorder="1" applyAlignment="1">
      <alignment horizontal="center" vertical="center"/>
    </xf>
    <xf numFmtId="0" fontId="11" fillId="4" borderId="267" xfId="0" applyFont="1" applyFill="1" applyBorder="1" applyAlignment="1">
      <alignment horizontal="center" vertical="center"/>
    </xf>
    <xf numFmtId="167" fontId="120" fillId="4" borderId="113" xfId="0" applyNumberFormat="1" applyFont="1" applyFill="1" applyBorder="1" applyAlignment="1">
      <alignment vertical="center"/>
    </xf>
    <xf numFmtId="9" fontId="1" fillId="4" borderId="113" xfId="0" applyNumberFormat="1" applyFont="1" applyFill="1" applyBorder="1" applyAlignment="1">
      <alignment horizontal="center" vertical="center"/>
    </xf>
    <xf numFmtId="1" fontId="1" fillId="0" borderId="267" xfId="0" applyNumberFormat="1" applyFont="1" applyBorder="1" applyAlignment="1">
      <alignment horizontal="center" vertical="center"/>
    </xf>
    <xf numFmtId="0" fontId="122" fillId="0" borderId="0" xfId="0" applyFont="1" applyAlignment="1">
      <alignment horizontal="left"/>
    </xf>
    <xf numFmtId="0" fontId="11" fillId="0" borderId="113" xfId="0" applyFont="1" applyBorder="1" applyAlignment="1">
      <alignment horizontal="center" vertical="center"/>
    </xf>
    <xf numFmtId="182" fontId="17" fillId="0" borderId="113" xfId="0" applyNumberFormat="1" applyFont="1" applyBorder="1" applyAlignment="1">
      <alignment horizontal="right" vertical="center"/>
    </xf>
    <xf numFmtId="164" fontId="11" fillId="0" borderId="113" xfId="0" applyNumberFormat="1" applyFont="1" applyBorder="1" applyAlignment="1">
      <alignment horizontal="right" vertical="center"/>
    </xf>
    <xf numFmtId="165" fontId="1" fillId="4" borderId="23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7" fontId="37" fillId="0" borderId="0" xfId="0" applyNumberFormat="1" applyFont="1" applyAlignment="1">
      <alignment horizontal="center" vertical="center"/>
    </xf>
    <xf numFmtId="1" fontId="37" fillId="4" borderId="2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63" fillId="0" borderId="23" xfId="0" applyNumberFormat="1" applyFont="1" applyBorder="1" applyAlignment="1">
      <alignment horizontal="right"/>
    </xf>
    <xf numFmtId="0" fontId="125" fillId="0" borderId="0" xfId="0" applyFont="1"/>
    <xf numFmtId="0" fontId="124" fillId="0" borderId="113" xfId="0" applyFont="1" applyBorder="1" applyAlignment="1">
      <alignment horizontal="center" vertical="center"/>
    </xf>
    <xf numFmtId="164" fontId="124" fillId="0" borderId="11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126" fillId="0" borderId="23" xfId="0" applyNumberFormat="1" applyFont="1" applyBorder="1" applyAlignment="1">
      <alignment horizontal="left"/>
    </xf>
    <xf numFmtId="1" fontId="37" fillId="0" borderId="23" xfId="0" applyNumberFormat="1" applyFont="1" applyBorder="1"/>
    <xf numFmtId="0" fontId="37" fillId="0" borderId="23" xfId="0" applyFont="1" applyBorder="1"/>
    <xf numFmtId="171" fontId="1" fillId="0" borderId="113" xfId="0" applyNumberFormat="1" applyFont="1" applyBorder="1" applyAlignment="1">
      <alignment horizontal="center" vertical="center"/>
    </xf>
    <xf numFmtId="1" fontId="37" fillId="4" borderId="23" xfId="0" applyNumberFormat="1" applyFont="1" applyFill="1" applyBorder="1" applyAlignment="1">
      <alignment horizontal="center"/>
    </xf>
    <xf numFmtId="182" fontId="1" fillId="0" borderId="113" xfId="0" applyNumberFormat="1" applyFont="1" applyBorder="1" applyAlignment="1">
      <alignment vertical="center"/>
    </xf>
    <xf numFmtId="0" fontId="12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" fontId="127" fillId="0" borderId="23" xfId="0" applyNumberFormat="1" applyFont="1" applyBorder="1" applyAlignment="1">
      <alignment horizontal="left"/>
    </xf>
    <xf numFmtId="181" fontId="2" fillId="0" borderId="28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44" fillId="0" borderId="113" xfId="0" applyFont="1" applyBorder="1" applyAlignment="1">
      <alignment horizontal="center" vertical="center"/>
    </xf>
    <xf numFmtId="0" fontId="72" fillId="0" borderId="113" xfId="0" applyFont="1" applyBorder="1" applyAlignment="1">
      <alignment horizontal="center" vertical="center"/>
    </xf>
    <xf numFmtId="0" fontId="2" fillId="17" borderId="113" xfId="0" applyFont="1" applyFill="1" applyBorder="1" applyAlignment="1">
      <alignment horizontal="center" vertical="center"/>
    </xf>
    <xf numFmtId="0" fontId="65" fillId="0" borderId="113" xfId="0" applyFont="1" applyBorder="1" applyAlignment="1">
      <alignment horizontal="center" vertical="center"/>
    </xf>
    <xf numFmtId="9" fontId="38" fillId="17" borderId="113" xfId="0" applyNumberFormat="1" applyFont="1" applyFill="1" applyBorder="1" applyAlignment="1">
      <alignment horizontal="center" vertical="center"/>
    </xf>
    <xf numFmtId="167" fontId="65" fillId="17" borderId="135" xfId="0" applyNumberFormat="1" applyFont="1" applyFill="1" applyBorder="1" applyAlignment="1">
      <alignment horizontal="center" vertical="center"/>
    </xf>
    <xf numFmtId="0" fontId="65" fillId="10" borderId="135" xfId="0" applyFont="1" applyFill="1" applyBorder="1" applyAlignment="1">
      <alignment horizontal="center" vertical="center"/>
    </xf>
    <xf numFmtId="0" fontId="52" fillId="18" borderId="274" xfId="0" applyFont="1" applyFill="1" applyBorder="1" applyAlignment="1">
      <alignment horizontal="center" vertical="center"/>
    </xf>
    <xf numFmtId="0" fontId="1" fillId="0" borderId="275" xfId="0" applyFont="1" applyBorder="1" applyAlignment="1">
      <alignment horizontal="center" vertical="center"/>
    </xf>
    <xf numFmtId="167" fontId="2" fillId="0" borderId="211" xfId="0" applyNumberFormat="1" applyFont="1" applyBorder="1" applyAlignment="1">
      <alignment vertical="center"/>
    </xf>
    <xf numFmtId="0" fontId="39" fillId="0" borderId="113" xfId="0" applyFont="1" applyBorder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0" fontId="20" fillId="0" borderId="269" xfId="0" applyFont="1" applyBorder="1" applyAlignment="1">
      <alignment horizontal="center" vertical="center"/>
    </xf>
    <xf numFmtId="167" fontId="2" fillId="0" borderId="113" xfId="0" applyNumberFormat="1" applyFont="1" applyBorder="1" applyAlignment="1">
      <alignment vertical="center"/>
    </xf>
    <xf numFmtId="0" fontId="128" fillId="0" borderId="0" xfId="0" applyFont="1" applyAlignment="1">
      <alignment horizontal="center" vertical="center"/>
    </xf>
    <xf numFmtId="0" fontId="8" fillId="0" borderId="269" xfId="0" applyFont="1" applyBorder="1" applyAlignment="1">
      <alignment horizontal="center" vertical="center"/>
    </xf>
    <xf numFmtId="182" fontId="1" fillId="0" borderId="0" xfId="0" applyNumberFormat="1" applyFont="1"/>
    <xf numFmtId="167" fontId="1" fillId="0" borderId="28" xfId="0" applyNumberFormat="1" applyFont="1" applyBorder="1" applyAlignment="1">
      <alignment vertical="center"/>
    </xf>
    <xf numFmtId="167" fontId="1" fillId="0" borderId="0" xfId="0" applyNumberFormat="1" applyFont="1" applyAlignment="1">
      <alignment horizontal="right" vertical="center"/>
    </xf>
    <xf numFmtId="164" fontId="1" fillId="0" borderId="276" xfId="0" applyNumberFormat="1" applyFont="1" applyBorder="1" applyAlignment="1">
      <alignment horizontal="right" vertical="center"/>
    </xf>
    <xf numFmtId="9" fontId="39" fillId="0" borderId="113" xfId="0" applyNumberFormat="1" applyFont="1" applyBorder="1" applyAlignment="1">
      <alignment horizontal="center" vertical="center"/>
    </xf>
    <xf numFmtId="0" fontId="44" fillId="19" borderId="169" xfId="0" applyFont="1" applyFill="1" applyBorder="1" applyAlignment="1">
      <alignment horizontal="left" vertical="center"/>
    </xf>
    <xf numFmtId="0" fontId="44" fillId="19" borderId="168" xfId="0" applyFont="1" applyFill="1" applyBorder="1" applyAlignment="1">
      <alignment horizontal="left"/>
    </xf>
    <xf numFmtId="164" fontId="11" fillId="4" borderId="170" xfId="0" applyNumberFormat="1" applyFont="1" applyFill="1" applyBorder="1" applyAlignment="1">
      <alignment horizontal="right" vertical="center"/>
    </xf>
    <xf numFmtId="164" fontId="11" fillId="20" borderId="23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" fillId="20" borderId="23" xfId="0" applyFont="1" applyFill="1" applyBorder="1"/>
    <xf numFmtId="38" fontId="1" fillId="20" borderId="23" xfId="0" applyNumberFormat="1" applyFont="1" applyFill="1" applyBorder="1" applyAlignment="1">
      <alignment horizontal="right" vertical="center"/>
    </xf>
    <xf numFmtId="167" fontId="2" fillId="0" borderId="269" xfId="0" applyNumberFormat="1" applyFont="1" applyBorder="1" applyAlignment="1">
      <alignment vertical="center"/>
    </xf>
    <xf numFmtId="0" fontId="38" fillId="0" borderId="113" xfId="0" applyFont="1" applyBorder="1" applyAlignment="1">
      <alignment horizontal="center" vertical="center"/>
    </xf>
    <xf numFmtId="0" fontId="44" fillId="20" borderId="23" xfId="0" applyFont="1" applyFill="1" applyBorder="1" applyAlignment="1">
      <alignment horizontal="left" vertical="center"/>
    </xf>
    <xf numFmtId="0" fontId="20" fillId="5" borderId="269" xfId="0" applyFont="1" applyFill="1" applyBorder="1" applyAlignment="1">
      <alignment horizontal="center" vertical="center"/>
    </xf>
    <xf numFmtId="167" fontId="2" fillId="5" borderId="269" xfId="0" applyNumberFormat="1" applyFont="1" applyFill="1" applyBorder="1" applyAlignment="1">
      <alignment vertical="center"/>
    </xf>
    <xf numFmtId="164" fontId="38" fillId="0" borderId="113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20" fillId="20" borderId="23" xfId="0" applyFont="1" applyFill="1" applyBorder="1" applyAlignment="1">
      <alignment horizontal="left" vertical="center"/>
    </xf>
    <xf numFmtId="0" fontId="1" fillId="10" borderId="169" xfId="0" applyFont="1" applyFill="1" applyBorder="1" applyAlignment="1">
      <alignment horizontal="left" vertical="center"/>
    </xf>
    <xf numFmtId="0" fontId="1" fillId="10" borderId="28" xfId="0" applyFont="1" applyFill="1" applyBorder="1"/>
    <xf numFmtId="167" fontId="120" fillId="0" borderId="0" xfId="0" applyNumberFormat="1" applyFont="1"/>
    <xf numFmtId="0" fontId="37" fillId="20" borderId="23" xfId="0" applyFont="1" applyFill="1" applyBorder="1" applyAlignment="1">
      <alignment horizontal="left" vertical="center"/>
    </xf>
    <xf numFmtId="0" fontId="20" fillId="0" borderId="23" xfId="0" applyFont="1" applyBorder="1"/>
    <xf numFmtId="165" fontId="15" fillId="0" borderId="267" xfId="0" applyNumberFormat="1" applyFont="1" applyBorder="1" applyAlignment="1">
      <alignment horizontal="center" vertical="center"/>
    </xf>
    <xf numFmtId="0" fontId="15" fillId="0" borderId="267" xfId="0" applyFont="1" applyBorder="1" applyAlignment="1">
      <alignment horizontal="center"/>
    </xf>
    <xf numFmtId="165" fontId="1" fillId="0" borderId="267" xfId="0" applyNumberFormat="1" applyFont="1" applyBorder="1" applyAlignment="1">
      <alignment horizontal="center" vertical="center"/>
    </xf>
    <xf numFmtId="167" fontId="24" fillId="0" borderId="0" xfId="0" applyNumberFormat="1" applyFont="1" applyAlignment="1">
      <alignment horizontal="center" vertical="center"/>
    </xf>
    <xf numFmtId="165" fontId="1" fillId="4" borderId="267" xfId="0" applyNumberFormat="1" applyFont="1" applyFill="1" applyBorder="1" applyAlignment="1">
      <alignment horizontal="right" vertical="center"/>
    </xf>
    <xf numFmtId="0" fontId="17" fillId="0" borderId="267" xfId="0" applyFont="1" applyBorder="1" applyAlignment="1">
      <alignment horizontal="center" vertical="center"/>
    </xf>
    <xf numFmtId="1" fontId="1" fillId="4" borderId="267" xfId="0" applyNumberFormat="1" applyFont="1" applyFill="1" applyBorder="1" applyAlignment="1">
      <alignment vertical="center"/>
    </xf>
    <xf numFmtId="14" fontId="20" fillId="0" borderId="23" xfId="0" applyNumberFormat="1" applyFont="1" applyBorder="1" applyAlignment="1">
      <alignment horizontal="right" vertical="center"/>
    </xf>
    <xf numFmtId="165" fontId="63" fillId="0" borderId="267" xfId="0" applyNumberFormat="1" applyFont="1" applyBorder="1" applyAlignment="1">
      <alignment horizontal="center" vertical="center"/>
    </xf>
    <xf numFmtId="0" fontId="63" fillId="0" borderId="267" xfId="0" applyFont="1" applyBorder="1"/>
    <xf numFmtId="0" fontId="63" fillId="0" borderId="267" xfId="0" applyFont="1" applyBorder="1" applyAlignment="1">
      <alignment horizontal="right"/>
    </xf>
    <xf numFmtId="165" fontId="1" fillId="0" borderId="267" xfId="0" applyNumberFormat="1" applyFont="1" applyBorder="1" applyAlignment="1">
      <alignment horizontal="center" vertical="center"/>
    </xf>
    <xf numFmtId="0" fontId="1" fillId="0" borderId="267" xfId="0" applyFont="1" applyBorder="1"/>
    <xf numFmtId="1" fontId="1" fillId="4" borderId="267" xfId="0" applyNumberFormat="1" applyFont="1" applyFill="1" applyBorder="1"/>
    <xf numFmtId="165" fontId="63" fillId="0" borderId="277" xfId="0" applyNumberFormat="1" applyFont="1" applyBorder="1" applyAlignment="1">
      <alignment horizontal="center" vertical="center"/>
    </xf>
    <xf numFmtId="0" fontId="63" fillId="0" borderId="277" xfId="0" applyFont="1" applyBorder="1"/>
    <xf numFmtId="0" fontId="63" fillId="0" borderId="277" xfId="0" applyFont="1" applyBorder="1" applyAlignment="1">
      <alignment horizontal="right"/>
    </xf>
    <xf numFmtId="165" fontId="38" fillId="0" borderId="0" xfId="0" applyNumberFormat="1" applyFont="1"/>
    <xf numFmtId="0" fontId="1" fillId="4" borderId="267" xfId="0" applyFont="1" applyFill="1" applyBorder="1" applyAlignment="1">
      <alignment horizontal="center" vertical="center"/>
    </xf>
    <xf numFmtId="1" fontId="1" fillId="4" borderId="267" xfId="0" applyNumberFormat="1" applyFont="1" applyFill="1" applyBorder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0" fontId="38" fillId="0" borderId="23" xfId="0" applyFont="1" applyBorder="1"/>
    <xf numFmtId="170" fontId="20" fillId="0" borderId="23" xfId="0" applyNumberFormat="1" applyFont="1" applyBorder="1"/>
    <xf numFmtId="0" fontId="20" fillId="0" borderId="0" xfId="0" applyFont="1" applyAlignment="1">
      <alignment horizontal="right" vertical="center"/>
    </xf>
    <xf numFmtId="1" fontId="20" fillId="0" borderId="23" xfId="0" applyNumberFormat="1" applyFont="1" applyBorder="1"/>
    <xf numFmtId="181" fontId="20" fillId="0" borderId="23" xfId="0" applyNumberFormat="1" applyFont="1" applyBorder="1"/>
    <xf numFmtId="165" fontId="20" fillId="0" borderId="0" xfId="0" applyNumberFormat="1" applyFont="1" applyAlignment="1">
      <alignment horizontal="center" vertical="center"/>
    </xf>
    <xf numFmtId="165" fontId="1" fillId="3" borderId="28" xfId="0" applyNumberFormat="1" applyFont="1" applyFill="1" applyBorder="1" applyAlignment="1">
      <alignment horizontal="center" vertical="center"/>
    </xf>
    <xf numFmtId="0" fontId="1" fillId="0" borderId="276" xfId="0" applyFont="1" applyBorder="1" applyAlignment="1">
      <alignment horizontal="center" vertical="center"/>
    </xf>
    <xf numFmtId="0" fontId="1" fillId="0" borderId="276" xfId="0" applyFont="1" applyBorder="1" applyAlignment="1">
      <alignment horizontal="right" vertical="center"/>
    </xf>
    <xf numFmtId="0" fontId="1" fillId="0" borderId="23" xfId="0" applyFont="1" applyBorder="1"/>
    <xf numFmtId="0" fontId="1" fillId="0" borderId="278" xfId="0" applyFont="1" applyBorder="1"/>
    <xf numFmtId="0" fontId="1" fillId="0" borderId="279" xfId="0" applyFont="1" applyBorder="1"/>
    <xf numFmtId="0" fontId="1" fillId="0" borderId="280" xfId="0" applyFont="1" applyBorder="1" applyAlignment="1">
      <alignment horizontal="center" vertical="center"/>
    </xf>
    <xf numFmtId="0" fontId="1" fillId="0" borderId="280" xfId="0" applyFont="1" applyBorder="1"/>
    <xf numFmtId="0" fontId="1" fillId="0" borderId="281" xfId="0" applyFont="1" applyBorder="1"/>
    <xf numFmtId="0" fontId="1" fillId="0" borderId="282" xfId="0" applyFont="1" applyBorder="1"/>
    <xf numFmtId="0" fontId="1" fillId="0" borderId="282" xfId="0" applyFont="1" applyBorder="1" applyAlignment="1">
      <alignment horizontal="center"/>
    </xf>
    <xf numFmtId="0" fontId="2" fillId="0" borderId="282" xfId="0" applyFont="1" applyBorder="1"/>
    <xf numFmtId="0" fontId="38" fillId="0" borderId="282" xfId="0" applyFont="1" applyBorder="1" applyAlignment="1">
      <alignment horizontal="left" vertical="center"/>
    </xf>
    <xf numFmtId="0" fontId="120" fillId="0" borderId="282" xfId="0" applyFont="1" applyBorder="1"/>
    <xf numFmtId="0" fontId="122" fillId="0" borderId="282" xfId="0" applyFont="1" applyBorder="1" applyAlignment="1">
      <alignment horizontal="left"/>
    </xf>
    <xf numFmtId="0" fontId="1" fillId="0" borderId="282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2" fillId="0" borderId="28" xfId="0" applyFont="1" applyBorder="1"/>
    <xf numFmtId="0" fontId="38" fillId="0" borderId="28" xfId="0" applyFont="1" applyBorder="1" applyAlignment="1">
      <alignment horizontal="left" vertical="center"/>
    </xf>
    <xf numFmtId="0" fontId="120" fillId="0" borderId="28" xfId="0" applyFont="1" applyBorder="1"/>
    <xf numFmtId="0" fontId="122" fillId="0" borderId="28" xfId="0" applyFont="1" applyBorder="1" applyAlignment="1">
      <alignment horizontal="left"/>
    </xf>
    <xf numFmtId="0" fontId="23" fillId="0" borderId="18" xfId="0" applyFont="1" applyBorder="1" applyAlignment="1">
      <alignment horizontal="left" vertical="center"/>
    </xf>
    <xf numFmtId="0" fontId="5" fillId="0" borderId="19" xfId="0" applyFont="1" applyBorder="1"/>
    <xf numFmtId="0" fontId="5" fillId="0" borderId="20" xfId="0" applyFont="1" applyBorder="1"/>
    <xf numFmtId="0" fontId="42" fillId="0" borderId="18" xfId="0" applyFont="1" applyBorder="1" applyAlignment="1">
      <alignment horizontal="left" vertical="center"/>
    </xf>
    <xf numFmtId="0" fontId="37" fillId="7" borderId="78" xfId="0" applyFont="1" applyFill="1" applyBorder="1" applyAlignment="1">
      <alignment horizontal="left" vertical="center"/>
    </xf>
    <xf numFmtId="0" fontId="5" fillId="0" borderId="103" xfId="0" applyFont="1" applyBorder="1"/>
    <xf numFmtId="0" fontId="5" fillId="0" borderId="79" xfId="0" applyFont="1" applyBorder="1"/>
    <xf numFmtId="0" fontId="20" fillId="10" borderId="36" xfId="0" applyFont="1" applyFill="1" applyBorder="1" applyAlignment="1">
      <alignment horizontal="left" vertical="center"/>
    </xf>
    <xf numFmtId="0" fontId="5" fillId="0" borderId="53" xfId="0" applyFont="1" applyBorder="1"/>
    <xf numFmtId="0" fontId="5" fillId="0" borderId="37" xfId="0" applyFont="1" applyBorder="1"/>
    <xf numFmtId="0" fontId="5" fillId="0" borderId="40" xfId="0" applyFont="1" applyBorder="1"/>
    <xf numFmtId="0" fontId="5" fillId="0" borderId="55" xfId="0" applyFont="1" applyBorder="1"/>
    <xf numFmtId="0" fontId="5" fillId="0" borderId="41" xfId="0" applyFont="1" applyBorder="1"/>
    <xf numFmtId="0" fontId="1" fillId="5" borderId="18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7" borderId="44" xfId="0" applyFont="1" applyFill="1" applyBorder="1" applyAlignment="1">
      <alignment horizontal="center" vertical="center"/>
    </xf>
    <xf numFmtId="0" fontId="5" fillId="0" borderId="45" xfId="0" applyFont="1" applyBorder="1"/>
    <xf numFmtId="0" fontId="5" fillId="0" borderId="46" xfId="0" applyFont="1" applyBorder="1"/>
    <xf numFmtId="169" fontId="22" fillId="0" borderId="47" xfId="0" applyNumberFormat="1" applyFont="1" applyBorder="1" applyAlignment="1">
      <alignment horizontal="center" vertical="center"/>
    </xf>
    <xf numFmtId="0" fontId="5" fillId="0" borderId="3" xfId="0" applyFont="1" applyBorder="1"/>
    <xf numFmtId="0" fontId="9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2" fillId="0" borderId="16" xfId="0" applyFont="1" applyBorder="1" applyAlignment="1">
      <alignment horizontal="center" vertical="center"/>
    </xf>
    <xf numFmtId="0" fontId="5" fillId="0" borderId="17" xfId="0" applyFont="1" applyBorder="1"/>
    <xf numFmtId="0" fontId="5" fillId="0" borderId="32" xfId="0" applyFont="1" applyBorder="1"/>
    <xf numFmtId="0" fontId="5" fillId="0" borderId="33" xfId="0" applyFont="1" applyBorder="1"/>
    <xf numFmtId="0" fontId="18" fillId="0" borderId="38" xfId="0" applyFont="1" applyBorder="1" applyAlignment="1">
      <alignment horizontal="center" vertical="center"/>
    </xf>
    <xf numFmtId="0" fontId="5" fillId="0" borderId="39" xfId="0" applyFont="1" applyBorder="1"/>
    <xf numFmtId="0" fontId="5" fillId="0" borderId="42" xfId="0" applyFont="1" applyBorder="1"/>
    <xf numFmtId="0" fontId="5" fillId="0" borderId="43" xfId="0" applyFont="1" applyBorder="1"/>
    <xf numFmtId="17" fontId="11" fillId="3" borderId="14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30" xfId="0" applyFont="1" applyBorder="1"/>
    <xf numFmtId="0" fontId="5" fillId="0" borderId="31" xfId="0" applyFont="1" applyBorder="1"/>
    <xf numFmtId="17" fontId="4" fillId="3" borderId="36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0" fillId="0" borderId="0" xfId="0" applyFont="1" applyAlignment="1"/>
    <xf numFmtId="0" fontId="20" fillId="0" borderId="101" xfId="0" applyFont="1" applyBorder="1" applyAlignment="1">
      <alignment horizontal="left" vertical="center"/>
    </xf>
    <xf numFmtId="0" fontId="5" fillId="0" borderId="102" xfId="0" applyFont="1" applyBorder="1"/>
    <xf numFmtId="0" fontId="11" fillId="8" borderId="14" xfId="0" applyFont="1" applyFill="1" applyBorder="1" applyAlignment="1">
      <alignment horizontal="center" vertical="center" wrapText="1"/>
    </xf>
    <xf numFmtId="0" fontId="5" fillId="0" borderId="54" xfId="0" applyFont="1" applyBorder="1"/>
    <xf numFmtId="0" fontId="5" fillId="0" borderId="105" xfId="0" applyFont="1" applyBorder="1"/>
    <xf numFmtId="0" fontId="5" fillId="0" borderId="106" xfId="0" applyFont="1" applyBorder="1"/>
    <xf numFmtId="0" fontId="37" fillId="0" borderId="18" xfId="0" applyFont="1" applyBorder="1" applyAlignment="1">
      <alignment horizontal="left" vertical="center"/>
    </xf>
    <xf numFmtId="0" fontId="37" fillId="11" borderId="18" xfId="0" applyFont="1" applyFill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5" fillId="0" borderId="104" xfId="0" applyFont="1" applyBorder="1"/>
    <xf numFmtId="1" fontId="20" fillId="0" borderId="51" xfId="0" applyNumberFormat="1" applyFont="1" applyBorder="1" applyAlignment="1">
      <alignment horizontal="left" vertical="center"/>
    </xf>
    <xf numFmtId="0" fontId="20" fillId="4" borderId="18" xfId="0" applyFont="1" applyFill="1" applyBorder="1" applyAlignment="1">
      <alignment horizontal="left" vertical="center"/>
    </xf>
    <xf numFmtId="0" fontId="44" fillId="12" borderId="14" xfId="0" applyFont="1" applyFill="1" applyBorder="1" applyAlignment="1">
      <alignment horizontal="center" vertical="center" wrapText="1"/>
    </xf>
    <xf numFmtId="167" fontId="34" fillId="3" borderId="60" xfId="0" applyNumberFormat="1" applyFont="1" applyFill="1" applyBorder="1" applyAlignment="1">
      <alignment horizontal="center" vertical="center"/>
    </xf>
    <xf numFmtId="0" fontId="5" fillId="0" borderId="61" xfId="0" applyFont="1" applyBorder="1"/>
    <xf numFmtId="167" fontId="34" fillId="3" borderId="69" xfId="0" applyNumberFormat="1" applyFont="1" applyFill="1" applyBorder="1" applyAlignment="1">
      <alignment horizontal="center" vertical="center"/>
    </xf>
    <xf numFmtId="0" fontId="5" fillId="0" borderId="70" xfId="0" applyFont="1" applyBorder="1"/>
    <xf numFmtId="167" fontId="34" fillId="3" borderId="83" xfId="0" applyNumberFormat="1" applyFont="1" applyFill="1" applyBorder="1" applyAlignment="1">
      <alignment horizontal="center" vertical="center"/>
    </xf>
    <xf numFmtId="0" fontId="5" fillId="0" borderId="84" xfId="0" applyFont="1" applyBorder="1"/>
    <xf numFmtId="0" fontId="29" fillId="0" borderId="48" xfId="0" applyFont="1" applyBorder="1" applyAlignment="1">
      <alignment horizontal="center" vertical="center"/>
    </xf>
    <xf numFmtId="0" fontId="5" fillId="0" borderId="56" xfId="0" applyFont="1" applyBorder="1"/>
    <xf numFmtId="0" fontId="20" fillId="0" borderId="4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65" xfId="0" applyFont="1" applyBorder="1"/>
    <xf numFmtId="0" fontId="24" fillId="0" borderId="108" xfId="0" applyFont="1" applyBorder="1" applyAlignment="1">
      <alignment horizontal="center" vertical="center" wrapText="1"/>
    </xf>
    <xf numFmtId="0" fontId="5" fillId="0" borderId="109" xfId="0" applyFont="1" applyBorder="1"/>
    <xf numFmtId="0" fontId="5" fillId="0" borderId="110" xfId="0" applyFont="1" applyBorder="1"/>
    <xf numFmtId="0" fontId="5" fillId="0" borderId="111" xfId="0" applyFont="1" applyBorder="1"/>
    <xf numFmtId="0" fontId="5" fillId="0" borderId="112" xfId="0" applyFont="1" applyBorder="1"/>
    <xf numFmtId="0" fontId="5" fillId="0" borderId="117" xfId="0" applyFont="1" applyBorder="1"/>
    <xf numFmtId="0" fontId="5" fillId="0" borderId="118" xfId="0" applyFont="1" applyBorder="1"/>
    <xf numFmtId="0" fontId="5" fillId="0" borderId="119" xfId="0" applyFont="1" applyBorder="1"/>
    <xf numFmtId="0" fontId="44" fillId="2" borderId="108" xfId="0" applyFont="1" applyFill="1" applyBorder="1" applyAlignment="1">
      <alignment horizontal="center" vertical="center" wrapText="1"/>
    </xf>
    <xf numFmtId="0" fontId="5" fillId="0" borderId="114" xfId="0" applyFont="1" applyBorder="1"/>
    <xf numFmtId="0" fontId="5" fillId="0" borderId="115" xfId="0" applyFont="1" applyBorder="1"/>
    <xf numFmtId="0" fontId="5" fillId="0" borderId="116" xfId="0" applyFont="1" applyBorder="1"/>
    <xf numFmtId="0" fontId="8" fillId="0" borderId="14" xfId="0" applyFont="1" applyBorder="1" applyAlignment="1">
      <alignment horizontal="center" vertical="center" wrapText="1"/>
    </xf>
    <xf numFmtId="169" fontId="1" fillId="0" borderId="69" xfId="0" applyNumberFormat="1" applyFont="1" applyBorder="1" applyAlignment="1">
      <alignment horizontal="center" vertical="center"/>
    </xf>
    <xf numFmtId="0" fontId="5" fillId="0" borderId="107" xfId="0" applyFont="1" applyBorder="1"/>
    <xf numFmtId="165" fontId="1" fillId="0" borderId="69" xfId="0" applyNumberFormat="1" applyFont="1" applyBorder="1" applyAlignment="1">
      <alignment horizontal="center" vertical="center"/>
    </xf>
    <xf numFmtId="0" fontId="8" fillId="0" borderId="101" xfId="0" applyFont="1" applyBorder="1" applyAlignment="1">
      <alignment horizontal="left" vertical="center"/>
    </xf>
    <xf numFmtId="0" fontId="4" fillId="5" borderId="36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8" fillId="3" borderId="93" xfId="0" applyFont="1" applyFill="1" applyBorder="1" applyAlignment="1">
      <alignment horizontal="center" vertical="center" wrapText="1"/>
    </xf>
    <xf numFmtId="0" fontId="5" fillId="0" borderId="97" xfId="0" applyFont="1" applyBorder="1"/>
    <xf numFmtId="0" fontId="11" fillId="3" borderId="14" xfId="0" applyFont="1" applyFill="1" applyBorder="1" applyAlignment="1">
      <alignment horizontal="center" vertical="center" wrapText="1"/>
    </xf>
    <xf numFmtId="0" fontId="5" fillId="0" borderId="100" xfId="0" applyFont="1" applyBorder="1"/>
    <xf numFmtId="0" fontId="39" fillId="9" borderId="95" xfId="0" applyFont="1" applyFill="1" applyBorder="1" applyAlignment="1">
      <alignment horizontal="center" vertical="center" wrapText="1"/>
    </xf>
    <xf numFmtId="0" fontId="5" fillId="0" borderId="99" xfId="0" applyFont="1" applyBorder="1"/>
    <xf numFmtId="0" fontId="20" fillId="10" borderId="7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41" fillId="4" borderId="78" xfId="0" applyFont="1" applyFill="1" applyBorder="1" applyAlignment="1">
      <alignment horizontal="right" vertical="center"/>
    </xf>
    <xf numFmtId="0" fontId="11" fillId="4" borderId="18" xfId="0" applyFont="1" applyFill="1" applyBorder="1" applyAlignment="1">
      <alignment horizontal="right" vertical="center"/>
    </xf>
    <xf numFmtId="0" fontId="37" fillId="4" borderId="1" xfId="0" applyFont="1" applyFill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5" fillId="0" borderId="89" xfId="0" applyFont="1" applyBorder="1"/>
    <xf numFmtId="167" fontId="34" fillId="0" borderId="88" xfId="0" applyNumberFormat="1" applyFont="1" applyBorder="1" applyAlignment="1">
      <alignment horizontal="center" vertical="center" wrapText="1"/>
    </xf>
    <xf numFmtId="0" fontId="39" fillId="9" borderId="94" xfId="0" applyFont="1" applyFill="1" applyBorder="1" applyAlignment="1">
      <alignment horizontal="center" vertical="center" wrapText="1"/>
    </xf>
    <xf numFmtId="0" fontId="5" fillId="0" borderId="98" xfId="0" applyFont="1" applyBorder="1"/>
    <xf numFmtId="0" fontId="38" fillId="3" borderId="9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 wrapText="1"/>
    </xf>
    <xf numFmtId="0" fontId="5" fillId="0" borderId="91" xfId="0" applyFont="1" applyBorder="1"/>
    <xf numFmtId="0" fontId="5" fillId="0" borderId="92" xfId="0" applyFont="1" applyBorder="1"/>
    <xf numFmtId="0" fontId="1" fillId="7" borderId="88" xfId="0" applyFont="1" applyFill="1" applyBorder="1" applyAlignment="1">
      <alignment horizontal="center" vertical="center" wrapText="1"/>
    </xf>
    <xf numFmtId="0" fontId="34" fillId="10" borderId="14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49" fontId="8" fillId="0" borderId="101" xfId="0" applyNumberFormat="1" applyFont="1" applyBorder="1" applyAlignment="1">
      <alignment horizontal="left" vertical="center"/>
    </xf>
    <xf numFmtId="0" fontId="37" fillId="7" borderId="18" xfId="0" applyFont="1" applyFill="1" applyBorder="1" applyAlignment="1">
      <alignment horizontal="left" vertical="center"/>
    </xf>
    <xf numFmtId="172" fontId="20" fillId="0" borderId="101" xfId="0" applyNumberFormat="1" applyFont="1" applyBorder="1" applyAlignment="1">
      <alignment horizontal="left" vertical="center"/>
    </xf>
    <xf numFmtId="0" fontId="40" fillId="10" borderId="14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37" fillId="4" borderId="18" xfId="0" applyFont="1" applyFill="1" applyBorder="1" applyAlignment="1">
      <alignment horizontal="left" vertical="center"/>
    </xf>
    <xf numFmtId="0" fontId="20" fillId="0" borderId="54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/>
    </xf>
    <xf numFmtId="0" fontId="44" fillId="13" borderId="123" xfId="0" applyFont="1" applyFill="1" applyBorder="1" applyAlignment="1">
      <alignment horizontal="left" vertical="center"/>
    </xf>
    <xf numFmtId="0" fontId="5" fillId="0" borderId="124" xfId="0" applyFont="1" applyBorder="1"/>
    <xf numFmtId="0" fontId="5" fillId="0" borderId="125" xfId="0" applyFont="1" applyBorder="1"/>
    <xf numFmtId="0" fontId="44" fillId="13" borderId="123" xfId="0" applyFont="1" applyFill="1" applyBorder="1" applyAlignment="1">
      <alignment horizontal="center" vertical="center"/>
    </xf>
    <xf numFmtId="0" fontId="52" fillId="13" borderId="69" xfId="0" applyFont="1" applyFill="1" applyBorder="1" applyAlignment="1">
      <alignment horizontal="center" vertical="center" wrapText="1"/>
    </xf>
    <xf numFmtId="1" fontId="48" fillId="0" borderId="139" xfId="0" applyNumberFormat="1" applyFont="1" applyBorder="1" applyAlignment="1">
      <alignment horizontal="right"/>
    </xf>
    <xf numFmtId="0" fontId="5" fillId="0" borderId="139" xfId="0" applyFont="1" applyBorder="1"/>
    <xf numFmtId="1" fontId="48" fillId="0" borderId="139" xfId="0" applyNumberFormat="1" applyFont="1" applyBorder="1" applyAlignment="1">
      <alignment horizontal="left"/>
    </xf>
    <xf numFmtId="0" fontId="5" fillId="0" borderId="140" xfId="0" applyFont="1" applyBorder="1"/>
    <xf numFmtId="172" fontId="44" fillId="13" borderId="123" xfId="0" applyNumberFormat="1" applyFont="1" applyFill="1" applyBorder="1" applyAlignment="1">
      <alignment horizontal="left" vertical="center"/>
    </xf>
    <xf numFmtId="0" fontId="5" fillId="0" borderId="126" xfId="0" applyFont="1" applyBorder="1"/>
    <xf numFmtId="0" fontId="44" fillId="13" borderId="130" xfId="0" applyFont="1" applyFill="1" applyBorder="1" applyAlignment="1">
      <alignment horizontal="left" vertical="center"/>
    </xf>
    <xf numFmtId="0" fontId="5" fillId="0" borderId="131" xfId="0" applyFont="1" applyBorder="1"/>
    <xf numFmtId="0" fontId="5" fillId="0" borderId="133" xfId="0" applyFont="1" applyBorder="1"/>
    <xf numFmtId="0" fontId="44" fillId="13" borderId="123" xfId="0" applyFont="1" applyFill="1" applyBorder="1" applyAlignment="1">
      <alignment horizontal="right" vertical="center"/>
    </xf>
    <xf numFmtId="0" fontId="44" fillId="13" borderId="130" xfId="0" applyFont="1" applyFill="1" applyBorder="1" applyAlignment="1">
      <alignment horizontal="right" vertical="center"/>
    </xf>
    <xf numFmtId="0" fontId="5" fillId="0" borderId="132" xfId="0" applyFont="1" applyBorder="1"/>
    <xf numFmtId="172" fontId="44" fillId="13" borderId="130" xfId="0" applyNumberFormat="1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100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19" xfId="0" applyFont="1" applyBorder="1" applyAlignment="1">
      <alignment horizontal="center" vertical="center"/>
    </xf>
    <xf numFmtId="0" fontId="44" fillId="0" borderId="101" xfId="0" applyFont="1" applyBorder="1" applyAlignment="1">
      <alignment horizontal="right" vertical="center"/>
    </xf>
    <xf numFmtId="0" fontId="44" fillId="4" borderId="101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38" fillId="0" borderId="54" xfId="0" applyFont="1" applyBorder="1" applyAlignment="1">
      <alignment horizontal="center"/>
    </xf>
    <xf numFmtId="167" fontId="11" fillId="0" borderId="19" xfId="0" applyNumberFormat="1" applyFont="1" applyBorder="1" applyAlignment="1">
      <alignment horizontal="center" vertical="center"/>
    </xf>
    <xf numFmtId="0" fontId="11" fillId="8" borderId="173" xfId="0" applyFont="1" applyFill="1" applyBorder="1" applyAlignment="1">
      <alignment horizontal="center" vertical="center" textRotation="90"/>
    </xf>
    <xf numFmtId="0" fontId="5" fillId="0" borderId="174" xfId="0" applyFont="1" applyBorder="1"/>
    <xf numFmtId="0" fontId="5" fillId="0" borderId="175" xfId="0" applyFont="1" applyBorder="1"/>
    <xf numFmtId="0" fontId="8" fillId="0" borderId="167" xfId="0" applyFont="1" applyBorder="1" applyAlignment="1">
      <alignment horizontal="left" vertical="center"/>
    </xf>
    <xf numFmtId="0" fontId="8" fillId="0" borderId="10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7" fillId="14" borderId="176" xfId="0" applyFont="1" applyFill="1" applyBorder="1" applyAlignment="1">
      <alignment horizontal="right" vertical="center"/>
    </xf>
    <xf numFmtId="0" fontId="37" fillId="14" borderId="167" xfId="0" applyFont="1" applyFill="1" applyBorder="1" applyAlignment="1">
      <alignment horizontal="left" vertical="center"/>
    </xf>
    <xf numFmtId="0" fontId="11" fillId="3" borderId="176" xfId="0" applyFont="1" applyFill="1" applyBorder="1" applyAlignment="1">
      <alignment horizontal="center" vertical="center"/>
    </xf>
    <xf numFmtId="0" fontId="37" fillId="0" borderId="167" xfId="0" applyFont="1" applyBorder="1" applyAlignment="1">
      <alignment horizontal="left" vertical="center"/>
    </xf>
    <xf numFmtId="0" fontId="20" fillId="4" borderId="10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0" fillId="8" borderId="157" xfId="0" applyFont="1" applyFill="1" applyBorder="1" applyAlignment="1">
      <alignment horizontal="left" vertical="center"/>
    </xf>
    <xf numFmtId="0" fontId="5" fillId="0" borderId="159" xfId="0" applyFont="1" applyBorder="1"/>
    <xf numFmtId="0" fontId="5" fillId="0" borderId="160" xfId="0" applyFont="1" applyBorder="1"/>
    <xf numFmtId="0" fontId="11" fillId="13" borderId="14" xfId="0" applyFont="1" applyFill="1" applyBorder="1" applyAlignment="1">
      <alignment horizontal="center" vertical="center" wrapText="1"/>
    </xf>
    <xf numFmtId="0" fontId="5" fillId="0" borderId="141" xfId="0" applyFont="1" applyBorder="1"/>
    <xf numFmtId="0" fontId="5" fillId="0" borderId="143" xfId="0" applyFont="1" applyBorder="1"/>
    <xf numFmtId="0" fontId="5" fillId="0" borderId="144" xfId="0" applyFont="1" applyBorder="1"/>
    <xf numFmtId="0" fontId="5" fillId="0" borderId="145" xfId="0" applyFont="1" applyBorder="1"/>
    <xf numFmtId="0" fontId="11" fillId="13" borderId="142" xfId="0" applyFont="1" applyFill="1" applyBorder="1" applyAlignment="1">
      <alignment horizontal="center" vertical="center" wrapText="1"/>
    </xf>
    <xf numFmtId="0" fontId="5" fillId="0" borderId="149" xfId="0" applyFont="1" applyBorder="1"/>
    <xf numFmtId="0" fontId="5" fillId="0" borderId="150" xfId="0" applyFont="1" applyBorder="1"/>
    <xf numFmtId="0" fontId="20" fillId="8" borderId="152" xfId="0" applyFont="1" applyFill="1" applyBorder="1" applyAlignment="1">
      <alignment horizontal="left" vertical="center"/>
    </xf>
    <xf numFmtId="0" fontId="5" fillId="0" borderId="153" xfId="0" applyFont="1" applyBorder="1"/>
    <xf numFmtId="0" fontId="5" fillId="0" borderId="154" xfId="0" applyFont="1" applyBorder="1"/>
    <xf numFmtId="0" fontId="5" fillId="0" borderId="155" xfId="0" applyFont="1" applyBorder="1"/>
    <xf numFmtId="0" fontId="4" fillId="13" borderId="123" xfId="0" applyFont="1" applyFill="1" applyBorder="1" applyAlignment="1">
      <alignment horizontal="center" vertical="center" wrapText="1"/>
    </xf>
    <xf numFmtId="0" fontId="20" fillId="11" borderId="101" xfId="0" applyFont="1" applyFill="1" applyBorder="1" applyAlignment="1">
      <alignment horizontal="center" vertical="center"/>
    </xf>
    <xf numFmtId="0" fontId="38" fillId="0" borderId="100" xfId="0" applyFont="1" applyBorder="1" applyAlignment="1">
      <alignment horizontal="right" vertical="center"/>
    </xf>
    <xf numFmtId="0" fontId="59" fillId="0" borderId="101" xfId="0" applyFont="1" applyBorder="1" applyAlignment="1">
      <alignment horizontal="right" vertical="center"/>
    </xf>
    <xf numFmtId="0" fontId="14" fillId="0" borderId="101" xfId="0" applyFont="1" applyBorder="1" applyAlignment="1">
      <alignment horizontal="center" vertical="center"/>
    </xf>
    <xf numFmtId="0" fontId="20" fillId="8" borderId="146" xfId="0" applyFont="1" applyFill="1" applyBorder="1" applyAlignment="1">
      <alignment horizontal="left" vertical="center"/>
    </xf>
    <xf numFmtId="0" fontId="5" fillId="0" borderId="162" xfId="0" applyFont="1" applyBorder="1"/>
    <xf numFmtId="0" fontId="5" fillId="0" borderId="147" xfId="0" applyFont="1" applyBorder="1"/>
    <xf numFmtId="0" fontId="11" fillId="0" borderId="165" xfId="0" applyFont="1" applyBorder="1" applyAlignment="1">
      <alignment horizontal="left" vertical="center"/>
    </xf>
    <xf numFmtId="0" fontId="11" fillId="0" borderId="167" xfId="0" applyFont="1" applyBorder="1" applyAlignment="1">
      <alignment horizontal="left" vertical="center"/>
    </xf>
    <xf numFmtId="0" fontId="57" fillId="0" borderId="101" xfId="0" applyFont="1" applyBorder="1" applyAlignment="1">
      <alignment horizontal="right" vertical="center"/>
    </xf>
    <xf numFmtId="0" fontId="58" fillId="0" borderId="101" xfId="0" applyFont="1" applyBorder="1" applyAlignment="1">
      <alignment horizontal="center" vertical="center"/>
    </xf>
    <xf numFmtId="0" fontId="8" fillId="0" borderId="101" xfId="0" applyFont="1" applyBorder="1" applyAlignment="1">
      <alignment horizontal="right" vertical="center"/>
    </xf>
    <xf numFmtId="0" fontId="5" fillId="0" borderId="163" xfId="0" applyFont="1" applyBorder="1"/>
    <xf numFmtId="0" fontId="53" fillId="13" borderId="146" xfId="0" applyFont="1" applyFill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5" fillId="0" borderId="158" xfId="0" applyFont="1" applyBorder="1"/>
    <xf numFmtId="0" fontId="11" fillId="0" borderId="101" xfId="0" applyFont="1" applyBorder="1" applyAlignment="1">
      <alignment horizontal="right" vertical="center"/>
    </xf>
    <xf numFmtId="0" fontId="11" fillId="0" borderId="19" xfId="0" applyFont="1" applyBorder="1" applyAlignment="1">
      <alignment horizontal="left" vertical="center"/>
    </xf>
    <xf numFmtId="0" fontId="37" fillId="0" borderId="36" xfId="0" applyFont="1" applyBorder="1" applyAlignment="1">
      <alignment horizontal="center" vertical="center"/>
    </xf>
    <xf numFmtId="1" fontId="48" fillId="0" borderId="40" xfId="0" applyNumberFormat="1" applyFont="1" applyBorder="1" applyAlignment="1">
      <alignment horizontal="center"/>
    </xf>
    <xf numFmtId="1" fontId="48" fillId="0" borderId="55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37" fillId="0" borderId="101" xfId="0" applyFont="1" applyBorder="1" applyAlignment="1">
      <alignment horizontal="center" vertical="center"/>
    </xf>
    <xf numFmtId="0" fontId="8" fillId="14" borderId="176" xfId="0" applyFont="1" applyFill="1" applyBorder="1" applyAlignment="1">
      <alignment horizontal="left" vertical="center"/>
    </xf>
    <xf numFmtId="0" fontId="5" fillId="0" borderId="177" xfId="0" applyFont="1" applyBorder="1"/>
    <xf numFmtId="0" fontId="37" fillId="0" borderId="53" xfId="0" applyFont="1" applyBorder="1" applyAlignment="1">
      <alignment horizontal="center" vertical="center"/>
    </xf>
    <xf numFmtId="166" fontId="43" fillId="0" borderId="140" xfId="0" applyNumberFormat="1" applyFont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71" fillId="0" borderId="218" xfId="0" applyFont="1" applyBorder="1" applyAlignment="1">
      <alignment horizontal="left" vertical="center"/>
    </xf>
    <xf numFmtId="0" fontId="5" fillId="0" borderId="214" xfId="0" applyFont="1" applyBorder="1"/>
    <xf numFmtId="0" fontId="71" fillId="0" borderId="0" xfId="0" applyFont="1" applyAlignment="1">
      <alignment vertical="center"/>
    </xf>
    <xf numFmtId="0" fontId="71" fillId="0" borderId="201" xfId="0" applyFont="1" applyBorder="1" applyAlignment="1">
      <alignment horizontal="center" vertical="center"/>
    </xf>
    <xf numFmtId="0" fontId="5" fillId="0" borderId="202" xfId="0" applyFont="1" applyBorder="1"/>
    <xf numFmtId="0" fontId="5" fillId="0" borderId="203" xfId="0" applyFont="1" applyBorder="1"/>
    <xf numFmtId="0" fontId="74" fillId="16" borderId="206" xfId="0" applyFont="1" applyFill="1" applyBorder="1" applyAlignment="1">
      <alignment horizontal="center" vertical="center"/>
    </xf>
    <xf numFmtId="0" fontId="71" fillId="0" borderId="207" xfId="0" applyFont="1" applyBorder="1" applyAlignment="1">
      <alignment horizontal="center" vertical="center"/>
    </xf>
    <xf numFmtId="0" fontId="5" fillId="0" borderId="208" xfId="0" applyFont="1" applyBorder="1"/>
    <xf numFmtId="0" fontId="71" fillId="0" borderId="69" xfId="0" applyFont="1" applyBorder="1" applyAlignment="1">
      <alignment horizontal="center" vertical="center" wrapText="1"/>
    </xf>
    <xf numFmtId="0" fontId="71" fillId="0" borderId="69" xfId="0" applyFont="1" applyBorder="1" applyAlignment="1">
      <alignment horizontal="center" vertical="center"/>
    </xf>
    <xf numFmtId="0" fontId="71" fillId="0" borderId="209" xfId="0" applyFont="1" applyBorder="1" applyAlignment="1">
      <alignment horizontal="center" vertical="center" wrapText="1"/>
    </xf>
    <xf numFmtId="0" fontId="5" fillId="0" borderId="212" xfId="0" applyFont="1" applyBorder="1"/>
    <xf numFmtId="1" fontId="71" fillId="0" borderId="69" xfId="0" applyNumberFormat="1" applyFont="1" applyBorder="1" applyAlignment="1">
      <alignment horizontal="right" vertical="center"/>
    </xf>
    <xf numFmtId="0" fontId="71" fillId="0" borderId="199" xfId="0" applyFont="1" applyBorder="1" applyAlignment="1">
      <alignment horizontal="center" vertical="center"/>
    </xf>
    <xf numFmtId="0" fontId="5" fillId="0" borderId="198" xfId="0" applyFont="1" applyBorder="1"/>
    <xf numFmtId="0" fontId="5" fillId="0" borderId="200" xfId="0" applyFont="1" applyBorder="1"/>
    <xf numFmtId="0" fontId="71" fillId="0" borderId="204" xfId="0" applyFont="1" applyBorder="1" applyAlignment="1">
      <alignment horizontal="center" vertical="center"/>
    </xf>
    <xf numFmtId="172" fontId="71" fillId="0" borderId="204" xfId="0" applyNumberFormat="1" applyFont="1" applyBorder="1" applyAlignment="1">
      <alignment horizontal="center" vertical="center"/>
    </xf>
    <xf numFmtId="0" fontId="5" fillId="0" borderId="205" xfId="0" applyFont="1" applyBorder="1"/>
    <xf numFmtId="0" fontId="71" fillId="16" borderId="186" xfId="0" applyFont="1" applyFill="1" applyBorder="1" applyAlignment="1">
      <alignment horizontal="right"/>
    </xf>
    <xf numFmtId="0" fontId="5" fillId="0" borderId="187" xfId="0" applyFont="1" applyBorder="1"/>
    <xf numFmtId="0" fontId="5" fillId="0" borderId="188" xfId="0" applyFont="1" applyBorder="1"/>
    <xf numFmtId="0" fontId="67" fillId="13" borderId="180" xfId="0" applyFont="1" applyFill="1" applyBorder="1" applyAlignment="1">
      <alignment horizontal="center" vertical="center" wrapText="1"/>
    </xf>
    <xf numFmtId="0" fontId="5" fillId="0" borderId="181" xfId="0" applyFont="1" applyBorder="1"/>
    <xf numFmtId="0" fontId="5" fillId="0" borderId="182" xfId="0" applyFont="1" applyBorder="1"/>
    <xf numFmtId="0" fontId="68" fillId="13" borderId="180" xfId="0" applyFont="1" applyFill="1" applyBorder="1" applyAlignment="1">
      <alignment horizontal="center" vertical="center" wrapText="1"/>
    </xf>
    <xf numFmtId="0" fontId="5" fillId="0" borderId="183" xfId="0" applyFont="1" applyBorder="1"/>
    <xf numFmtId="0" fontId="70" fillId="0" borderId="10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1" fontId="67" fillId="0" borderId="184" xfId="0" applyNumberFormat="1" applyFont="1" applyBorder="1" applyAlignment="1">
      <alignment horizontal="center" vertical="center"/>
    </xf>
    <xf numFmtId="0" fontId="5" fillId="0" borderId="185" xfId="0" applyFont="1" applyBorder="1"/>
    <xf numFmtId="0" fontId="5" fillId="0" borderId="189" xfId="0" applyFont="1" applyBorder="1"/>
    <xf numFmtId="0" fontId="5" fillId="0" borderId="190" xfId="0" applyFont="1" applyBorder="1"/>
    <xf numFmtId="166" fontId="89" fillId="0" borderId="219" xfId="0" applyNumberFormat="1" applyFont="1" applyBorder="1" applyAlignment="1">
      <alignment horizontal="center" vertical="top" wrapText="1"/>
    </xf>
    <xf numFmtId="0" fontId="5" fillId="0" borderId="219" xfId="0" applyFont="1" applyBorder="1"/>
    <xf numFmtId="0" fontId="93" fillId="0" borderId="224" xfId="0" applyFont="1" applyBorder="1" applyAlignment="1">
      <alignment horizontal="center" vertical="center"/>
    </xf>
    <xf numFmtId="0" fontId="5" fillId="0" borderId="225" xfId="0" applyFont="1" applyBorder="1"/>
    <xf numFmtId="0" fontId="37" fillId="0" borderId="54" xfId="0" applyFont="1" applyBorder="1" applyAlignment="1">
      <alignment horizontal="center" vertical="center"/>
    </xf>
    <xf numFmtId="0" fontId="92" fillId="0" borderId="223" xfId="0" applyFont="1" applyBorder="1" applyAlignment="1">
      <alignment horizontal="right" vertical="center"/>
    </xf>
    <xf numFmtId="0" fontId="5" fillId="0" borderId="224" xfId="0" applyFont="1" applyBorder="1"/>
    <xf numFmtId="0" fontId="71" fillId="13" borderId="191" xfId="0" applyFont="1" applyFill="1" applyBorder="1" applyAlignment="1">
      <alignment horizontal="center" vertical="center"/>
    </xf>
    <xf numFmtId="0" fontId="5" fillId="0" borderId="192" xfId="0" applyFont="1" applyBorder="1"/>
    <xf numFmtId="0" fontId="5" fillId="0" borderId="193" xfId="0" applyFont="1" applyBorder="1"/>
    <xf numFmtId="0" fontId="71" fillId="13" borderId="194" xfId="0" applyFont="1" applyFill="1" applyBorder="1" applyAlignment="1">
      <alignment horizontal="center" vertical="center"/>
    </xf>
    <xf numFmtId="0" fontId="5" fillId="0" borderId="195" xfId="0" applyFont="1" applyBorder="1"/>
    <xf numFmtId="41" fontId="73" fillId="0" borderId="0" xfId="0" applyNumberFormat="1" applyFont="1" applyAlignment="1">
      <alignment horizontal="center"/>
    </xf>
    <xf numFmtId="41" fontId="73" fillId="0" borderId="105" xfId="0" applyNumberFormat="1" applyFont="1" applyBorder="1" applyAlignment="1">
      <alignment horizontal="center" vertical="center"/>
    </xf>
    <xf numFmtId="41" fontId="73" fillId="0" borderId="143" xfId="0" applyNumberFormat="1" applyFont="1" applyBorder="1" applyAlignment="1">
      <alignment horizontal="center" vertical="center"/>
    </xf>
    <xf numFmtId="41" fontId="73" fillId="0" borderId="144" xfId="0" applyNumberFormat="1" applyFont="1" applyBorder="1" applyAlignment="1">
      <alignment horizontal="center"/>
    </xf>
    <xf numFmtId="0" fontId="71" fillId="0" borderId="196" xfId="0" applyFont="1" applyBorder="1" applyAlignment="1">
      <alignment horizontal="center" vertical="center"/>
    </xf>
    <xf numFmtId="0" fontId="5" fillId="0" borderId="197" xfId="0" applyFont="1" applyBorder="1"/>
    <xf numFmtId="0" fontId="79" fillId="0" borderId="0" xfId="0" applyFont="1" applyAlignment="1">
      <alignment horizontal="left" vertical="center" wrapText="1"/>
    </xf>
    <xf numFmtId="0" fontId="90" fillId="0" borderId="221" xfId="0" applyFont="1" applyBorder="1" applyAlignment="1">
      <alignment horizontal="center" vertical="center"/>
    </xf>
    <xf numFmtId="3" fontId="71" fillId="0" borderId="0" xfId="0" applyNumberFormat="1" applyFont="1" applyAlignment="1">
      <alignment horizontal="left" vertical="center"/>
    </xf>
    <xf numFmtId="3" fontId="71" fillId="0" borderId="218" xfId="0" applyNumberFormat="1" applyFont="1" applyBorder="1" applyAlignment="1">
      <alignment horizontal="left" vertical="center"/>
    </xf>
    <xf numFmtId="3" fontId="43" fillId="0" borderId="69" xfId="0" applyNumberFormat="1" applyFont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71" fillId="0" borderId="218" xfId="0" applyFont="1" applyBorder="1" applyAlignment="1">
      <alignment horizontal="center" vertical="center"/>
    </xf>
    <xf numFmtId="3" fontId="84" fillId="0" borderId="0" xfId="0" applyNumberFormat="1" applyFont="1" applyAlignment="1">
      <alignment horizontal="center" vertical="center"/>
    </xf>
    <xf numFmtId="0" fontId="75" fillId="0" borderId="140" xfId="0" applyFont="1" applyBorder="1" applyAlignment="1">
      <alignment horizontal="center" vertical="center"/>
    </xf>
    <xf numFmtId="1" fontId="71" fillId="0" borderId="216" xfId="0" applyNumberFormat="1" applyFont="1" applyBorder="1" applyAlignment="1">
      <alignment horizontal="right" vertical="center"/>
    </xf>
    <xf numFmtId="0" fontId="5" fillId="0" borderId="213" xfId="0" applyFont="1" applyBorder="1"/>
    <xf numFmtId="0" fontId="76" fillId="0" borderId="207" xfId="0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71" fillId="0" borderId="138" xfId="0" applyFont="1" applyBorder="1" applyAlignment="1">
      <alignment horizontal="center" vertical="center"/>
    </xf>
    <xf numFmtId="0" fontId="71" fillId="0" borderId="143" xfId="0" applyFont="1" applyBorder="1" applyAlignment="1">
      <alignment horizontal="center" vertical="center"/>
    </xf>
    <xf numFmtId="0" fontId="5" fillId="0" borderId="210" xfId="0" applyFont="1" applyBorder="1"/>
    <xf numFmtId="165" fontId="75" fillId="0" borderId="213" xfId="0" applyNumberFormat="1" applyFont="1" applyBorder="1" applyAlignment="1">
      <alignment horizontal="center" vertical="center"/>
    </xf>
    <xf numFmtId="41" fontId="73" fillId="0" borderId="0" xfId="0" applyNumberFormat="1" applyFont="1" applyAlignment="1">
      <alignment horizontal="left" vertical="center"/>
    </xf>
    <xf numFmtId="1" fontId="75" fillId="0" borderId="220" xfId="0" applyNumberFormat="1" applyFont="1" applyBorder="1" applyAlignment="1">
      <alignment horizontal="center" vertical="center"/>
    </xf>
    <xf numFmtId="0" fontId="5" fillId="0" borderId="215" xfId="0" applyFont="1" applyBorder="1"/>
    <xf numFmtId="0" fontId="5" fillId="0" borderId="211" xfId="0" applyFont="1" applyBorder="1"/>
    <xf numFmtId="1" fontId="76" fillId="0" borderId="69" xfId="0" applyNumberFormat="1" applyFont="1" applyBorder="1" applyAlignment="1">
      <alignment horizontal="center" vertical="center"/>
    </xf>
    <xf numFmtId="0" fontId="79" fillId="0" borderId="220" xfId="0" applyFont="1" applyBorder="1" applyAlignment="1">
      <alignment horizontal="center" vertical="center" wrapText="1"/>
    </xf>
    <xf numFmtId="0" fontId="79" fillId="0" borderId="140" xfId="0" applyFont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1" fontId="11" fillId="13" borderId="157" xfId="0" applyNumberFormat="1" applyFont="1" applyFill="1" applyBorder="1" applyAlignment="1">
      <alignment horizontal="center"/>
    </xf>
    <xf numFmtId="0" fontId="5" fillId="0" borderId="232" xfId="0" applyFont="1" applyBorder="1"/>
    <xf numFmtId="0" fontId="71" fillId="0" borderId="231" xfId="0" applyFont="1" applyBorder="1" applyAlignment="1">
      <alignment horizontal="left"/>
    </xf>
    <xf numFmtId="0" fontId="74" fillId="0" borderId="231" xfId="0" applyFont="1" applyBorder="1" applyAlignment="1">
      <alignment horizontal="left"/>
    </xf>
    <xf numFmtId="0" fontId="79" fillId="0" borderId="184" xfId="0" applyFont="1" applyBorder="1" applyAlignment="1">
      <alignment horizontal="left" vertical="center"/>
    </xf>
    <xf numFmtId="0" fontId="5" fillId="0" borderId="184" xfId="0" applyFont="1" applyBorder="1"/>
    <xf numFmtId="0" fontId="79" fillId="0" borderId="55" xfId="0" applyFont="1" applyBorder="1" applyAlignment="1">
      <alignment horizontal="left" vertical="center"/>
    </xf>
    <xf numFmtId="0" fontId="48" fillId="0" borderId="54" xfId="0" applyFont="1" applyBorder="1" applyAlignment="1">
      <alignment horizontal="center" vertical="center"/>
    </xf>
    <xf numFmtId="167" fontId="71" fillId="0" borderId="0" xfId="0" applyNumberFormat="1" applyFont="1" applyAlignment="1">
      <alignment horizontal="left"/>
    </xf>
    <xf numFmtId="0" fontId="74" fillId="0" borderId="220" xfId="0" applyFont="1" applyBorder="1" applyAlignment="1">
      <alignment horizontal="center" vertical="center" wrapText="1"/>
    </xf>
    <xf numFmtId="0" fontId="41" fillId="0" borderId="235" xfId="0" applyFont="1" applyBorder="1" applyAlignment="1">
      <alignment horizontal="left"/>
    </xf>
    <xf numFmtId="1" fontId="41" fillId="13" borderId="146" xfId="0" applyNumberFormat="1" applyFont="1" applyFill="1" applyBorder="1" applyAlignment="1">
      <alignment horizontal="center"/>
    </xf>
    <xf numFmtId="167" fontId="3" fillId="0" borderId="144" xfId="0" applyNumberFormat="1" applyFont="1" applyBorder="1" applyAlignment="1">
      <alignment horizontal="left"/>
    </xf>
    <xf numFmtId="0" fontId="78" fillId="0" borderId="236" xfId="0" applyFont="1" applyBorder="1" applyAlignment="1">
      <alignment horizontal="center" vertical="center" textRotation="90"/>
    </xf>
    <xf numFmtId="0" fontId="5" fillId="0" borderId="230" xfId="0" applyFont="1" applyBorder="1"/>
    <xf numFmtId="0" fontId="5" fillId="0" borderId="234" xfId="0" applyFont="1" applyBorder="1"/>
    <xf numFmtId="177" fontId="73" fillId="0" borderId="0" xfId="0" applyNumberFormat="1" applyFont="1" applyAlignment="1">
      <alignment horizontal="left"/>
    </xf>
    <xf numFmtId="0" fontId="100" fillId="0" borderId="10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vertical="center"/>
    </xf>
    <xf numFmtId="0" fontId="73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103" fillId="0" borderId="0" xfId="0" quotePrefix="1" applyFont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11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7" fillId="13" borderId="14" xfId="0" applyFont="1" applyFill="1" applyBorder="1" applyAlignment="1">
      <alignment horizontal="center" vertical="center"/>
    </xf>
    <xf numFmtId="0" fontId="5" fillId="0" borderId="239" xfId="0" applyFont="1" applyBorder="1"/>
    <xf numFmtId="0" fontId="5" fillId="0" borderId="240" xfId="0" applyFont="1" applyBorder="1"/>
    <xf numFmtId="0" fontId="108" fillId="0" borderId="105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111" fillId="0" borderId="0" xfId="0" applyFont="1" applyAlignment="1">
      <alignment horizontal="left" vertical="center"/>
    </xf>
    <xf numFmtId="0" fontId="112" fillId="0" borderId="0" xfId="0" applyFont="1" applyAlignment="1">
      <alignment horizontal="left" vertical="center"/>
    </xf>
    <xf numFmtId="0" fontId="73" fillId="0" borderId="244" xfId="0" applyFont="1" applyBorder="1" applyAlignment="1">
      <alignment horizontal="left" vertical="top" wrapText="1"/>
    </xf>
    <xf numFmtId="44" fontId="73" fillId="0" borderId="248" xfId="0" applyNumberFormat="1" applyFont="1" applyBorder="1" applyAlignment="1">
      <alignment horizontal="left" vertical="top" wrapText="1"/>
    </xf>
    <xf numFmtId="0" fontId="103" fillId="13" borderId="69" xfId="0" applyFont="1" applyFill="1" applyBorder="1" applyAlignment="1">
      <alignment horizontal="center" vertical="center" wrapText="1"/>
    </xf>
    <xf numFmtId="0" fontId="117" fillId="0" borderId="69" xfId="0" quotePrefix="1" applyFont="1" applyBorder="1" applyAlignment="1">
      <alignment horizontal="center" vertical="center" wrapText="1"/>
    </xf>
    <xf numFmtId="0" fontId="34" fillId="13" borderId="241" xfId="0" applyFont="1" applyFill="1" applyBorder="1" applyAlignment="1">
      <alignment horizontal="center" vertical="center" wrapText="1"/>
    </xf>
    <xf numFmtId="0" fontId="115" fillId="13" borderId="242" xfId="0" applyFont="1" applyFill="1" applyBorder="1" applyAlignment="1">
      <alignment horizontal="center" vertical="center"/>
    </xf>
    <xf numFmtId="0" fontId="116" fillId="0" borderId="105" xfId="0" applyFont="1" applyBorder="1" applyAlignment="1">
      <alignment horizontal="center" vertical="center"/>
    </xf>
    <xf numFmtId="0" fontId="20" fillId="0" borderId="242" xfId="0" applyFont="1" applyBorder="1" applyAlignment="1">
      <alignment horizontal="left" vertical="center"/>
    </xf>
    <xf numFmtId="0" fontId="73" fillId="0" borderId="167" xfId="0" applyFont="1" applyBorder="1" applyAlignment="1">
      <alignment horizontal="left" vertical="top"/>
    </xf>
    <xf numFmtId="44" fontId="73" fillId="0" borderId="167" xfId="0" applyNumberFormat="1" applyFont="1" applyBorder="1" applyAlignment="1">
      <alignment horizontal="left" vertical="top"/>
    </xf>
    <xf numFmtId="44" fontId="103" fillId="0" borderId="101" xfId="0" applyNumberFormat="1" applyFont="1" applyBorder="1" applyAlignment="1">
      <alignment horizontal="left" vertical="top"/>
    </xf>
    <xf numFmtId="0" fontId="103" fillId="0" borderId="204" xfId="0" applyFont="1" applyBorder="1" applyAlignment="1">
      <alignment horizontal="left" vertical="top"/>
    </xf>
    <xf numFmtId="0" fontId="11" fillId="0" borderId="206" xfId="0" applyFont="1" applyBorder="1" applyAlignment="1">
      <alignment horizontal="left" vertical="center" wrapText="1"/>
    </xf>
    <xf numFmtId="44" fontId="73" fillId="0" borderId="167" xfId="0" applyNumberFormat="1" applyFont="1" applyBorder="1" applyAlignment="1">
      <alignment horizontal="left" vertical="top" wrapText="1"/>
    </xf>
    <xf numFmtId="0" fontId="73" fillId="0" borderId="69" xfId="0" applyFont="1" applyBorder="1" applyAlignment="1">
      <alignment horizontal="left" vertical="top" wrapText="1"/>
    </xf>
    <xf numFmtId="0" fontId="5" fillId="0" borderId="249" xfId="0" applyFont="1" applyBorder="1"/>
    <xf numFmtId="0" fontId="73" fillId="0" borderId="252" xfId="0" applyFont="1" applyBorder="1" applyAlignment="1">
      <alignment horizontal="left" vertical="top" wrapText="1"/>
    </xf>
    <xf numFmtId="0" fontId="5" fillId="0" borderId="253" xfId="0" applyFont="1" applyBorder="1"/>
    <xf numFmtId="0" fontId="5" fillId="0" borderId="254" xfId="0" applyFont="1" applyBorder="1"/>
    <xf numFmtId="44" fontId="114" fillId="0" borderId="167" xfId="0" applyNumberFormat="1" applyFont="1" applyBorder="1" applyAlignment="1">
      <alignment horizontal="left" vertical="top" wrapText="1"/>
    </xf>
    <xf numFmtId="0" fontId="114" fillId="0" borderId="167" xfId="0" applyFont="1" applyBorder="1" applyAlignment="1">
      <alignment horizontal="left" vertical="top" wrapText="1"/>
    </xf>
    <xf numFmtId="0" fontId="73" fillId="0" borderId="242" xfId="0" applyFont="1" applyBorder="1" applyAlignment="1">
      <alignment horizontal="right" vertical="center"/>
    </xf>
    <xf numFmtId="180" fontId="73" fillId="0" borderId="157" xfId="0" applyNumberFormat="1" applyFont="1" applyBorder="1" applyAlignment="1">
      <alignment horizontal="left" vertical="center"/>
    </xf>
    <xf numFmtId="0" fontId="114" fillId="0" borderId="252" xfId="0" applyFont="1" applyBorder="1" applyAlignment="1">
      <alignment horizontal="left" vertical="top" wrapText="1"/>
    </xf>
    <xf numFmtId="0" fontId="37" fillId="0" borderId="54" xfId="0" applyFont="1" applyBorder="1" applyAlignment="1">
      <alignment horizontal="center"/>
    </xf>
    <xf numFmtId="0" fontId="73" fillId="0" borderId="264" xfId="0" applyFont="1" applyBorder="1" applyAlignment="1">
      <alignment horizontal="right" vertical="center"/>
    </xf>
    <xf numFmtId="0" fontId="73" fillId="0" borderId="152" xfId="0" applyFont="1" applyBorder="1" applyAlignment="1">
      <alignment horizontal="left" vertical="center" wrapText="1"/>
    </xf>
    <xf numFmtId="0" fontId="1" fillId="0" borderId="263" xfId="0" applyFont="1" applyBorder="1" applyAlignment="1">
      <alignment horizontal="left" vertical="center" wrapText="1"/>
    </xf>
    <xf numFmtId="0" fontId="119" fillId="13" borderId="207" xfId="0" applyFont="1" applyFill="1" applyBorder="1" applyAlignment="1">
      <alignment horizontal="center" vertical="center" wrapText="1"/>
    </xf>
    <xf numFmtId="0" fontId="73" fillId="0" borderId="157" xfId="0" applyFont="1" applyBorder="1" applyAlignment="1">
      <alignment horizontal="left" vertical="top" wrapText="1"/>
    </xf>
    <xf numFmtId="0" fontId="73" fillId="0" borderId="157" xfId="0" applyFont="1" applyBorder="1" applyAlignment="1">
      <alignment horizontal="center" wrapText="1"/>
    </xf>
    <xf numFmtId="0" fontId="73" fillId="0" borderId="265" xfId="0" applyFont="1" applyBorder="1" applyAlignment="1">
      <alignment horizontal="right" vertical="center"/>
    </xf>
    <xf numFmtId="0" fontId="73" fillId="0" borderId="130" xfId="0" applyFont="1" applyBorder="1" applyAlignment="1">
      <alignment horizontal="left" vertical="center"/>
    </xf>
    <xf numFmtId="0" fontId="118" fillId="0" borderId="130" xfId="0" applyFont="1" applyBorder="1" applyAlignment="1">
      <alignment horizontal="center" vertical="center"/>
    </xf>
    <xf numFmtId="167" fontId="120" fillId="9" borderId="272" xfId="0" applyNumberFormat="1" applyFont="1" applyFill="1" applyBorder="1" applyAlignment="1">
      <alignment horizontal="center" vertical="center"/>
    </xf>
    <xf numFmtId="0" fontId="5" fillId="0" borderId="273" xfId="0" applyFont="1" applyBorder="1"/>
    <xf numFmtId="0" fontId="72" fillId="0" borderId="69" xfId="0" applyFont="1" applyBorder="1" applyAlignment="1">
      <alignment horizontal="center" vertical="center"/>
    </xf>
    <xf numFmtId="167" fontId="120" fillId="9" borderId="69" xfId="0" applyNumberFormat="1" applyFont="1" applyFill="1" applyBorder="1" applyAlignment="1">
      <alignment horizontal="center" vertical="center"/>
    </xf>
    <xf numFmtId="0" fontId="120" fillId="0" borderId="69" xfId="0" applyFont="1" applyBorder="1" applyAlignment="1">
      <alignment horizontal="center" vertical="center"/>
    </xf>
    <xf numFmtId="0" fontId="37" fillId="4" borderId="157" xfId="0" applyFont="1" applyFill="1" applyBorder="1" applyAlignment="1">
      <alignment horizontal="center" vertical="center"/>
    </xf>
    <xf numFmtId="167" fontId="120" fillId="0" borderId="69" xfId="0" applyNumberFormat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24" fillId="0" borderId="69" xfId="0" applyFont="1" applyBorder="1" applyAlignment="1">
      <alignment horizontal="center" vertical="center"/>
    </xf>
    <xf numFmtId="0" fontId="120" fillId="9" borderId="69" xfId="0" applyFont="1" applyFill="1" applyBorder="1" applyAlignment="1">
      <alignment horizontal="center" vertical="center"/>
    </xf>
    <xf numFmtId="0" fontId="20" fillId="4" borderId="101" xfId="0" applyFont="1" applyFill="1" applyBorder="1" applyAlignment="1">
      <alignment horizontal="left" vertical="center"/>
    </xf>
    <xf numFmtId="0" fontId="20" fillId="10" borderId="101" xfId="0" applyFont="1" applyFill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</cellXfs>
  <cellStyles count="1">
    <cellStyle name="Normal" xfId="0" builtinId="0"/>
  </cellStyles>
  <dxfs count="26"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ill>
        <patternFill patternType="solid">
          <fgColor rgb="FF0AE8A3"/>
          <bgColor rgb="FF0AE8A3"/>
        </patternFill>
      </fill>
    </dxf>
    <dxf>
      <font>
        <color auto="1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0CECE"/>
          <bgColor rgb="FFD0CE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auto="1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962025</xdr:colOff>
      <xdr:row>18</xdr:row>
      <xdr:rowOff>76200</xdr:rowOff>
    </xdr:from>
    <xdr:ext cx="552450" cy="590550"/>
    <xdr:sp macro="" textlink="">
      <xdr:nvSpPr>
        <xdr:cNvPr id="2" name="Rectangle 1">
          <a:extLst>
            <a:ext uri="{FF2B5EF4-FFF2-40B4-BE49-F238E27FC236}"/>
          </a:extLst>
        </xdr:cNvPr>
        <xdr:cNvSpPr/>
      </xdr:nvSpPr>
      <xdr:spPr>
        <a:xfrm>
          <a:off x="4324351" y="4400550"/>
          <a:ext cx="561974" cy="600074"/>
        </a:xfrm>
        <a:prstGeom prst="rect">
          <a:avLst/>
        </a:prstGeom>
        <a:solidFill>
          <a:schemeClr val="lt1"/>
        </a:solidFill>
        <a:ln w="19050">
          <a:solidFill>
            <a:schemeClr val="dk1"/>
          </a:solidFill>
          <a:prstDash val="sysDot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0" algn="ctr"/>
          <a:r>
            <a:rPr lang="en-IN" sz="800" b="1" i="0" u="none">
              <a:solidFill>
                <a:srgbClr val="FF0000"/>
              </a:solidFill>
            </a:rPr>
            <a:t>Affix Revenue stamp of Rs. 1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99"/>
    <pageSetUpPr fitToPage="1"/>
  </sheetPr>
  <dimension ref="A1:AC100"/>
  <sheetViews>
    <sheetView showGridLines="0" tabSelected="1" workbookViewId="0">
      <pane xSplit="1" ySplit="2" topLeftCell="B29" activePane="bottomRight" state="frozen"/>
      <selection pane="topRight" activeCell="B1" sqref="B1"/>
      <selection pane="bottomLeft" activeCell="A3" sqref="A3"/>
      <selection pane="bottomRight" activeCell="O9" sqref="O9"/>
    </sheetView>
  </sheetViews>
  <sheetFormatPr defaultColWidth="14.42578125" defaultRowHeight="15" customHeight="1"/>
  <cols>
    <col min="1" max="1" width="1" customWidth="1"/>
    <col min="2" max="3" width="13" customWidth="1"/>
    <col min="4" max="5" width="13.28515625" customWidth="1"/>
    <col min="6" max="6" width="1.7109375" customWidth="1"/>
    <col min="7" max="7" width="12" customWidth="1"/>
    <col min="8" max="8" width="10.7109375" customWidth="1"/>
    <col min="9" max="9" width="12" customWidth="1"/>
    <col min="10" max="10" width="11.7109375" customWidth="1"/>
    <col min="11" max="11" width="1.7109375" customWidth="1"/>
    <col min="12" max="12" width="11.7109375" customWidth="1"/>
    <col min="13" max="16" width="8.7109375" customWidth="1"/>
    <col min="17" max="17" width="1.7109375" customWidth="1"/>
    <col min="18" max="18" width="2.28515625" customWidth="1"/>
    <col min="19" max="19" width="9.7109375" customWidth="1"/>
    <col min="20" max="20" width="14.28515625" customWidth="1"/>
    <col min="21" max="21" width="7.7109375" customWidth="1"/>
    <col min="22" max="22" width="13.7109375" customWidth="1"/>
    <col min="23" max="23" width="2.7109375" customWidth="1"/>
    <col min="24" max="24" width="9.7109375" customWidth="1"/>
    <col min="25" max="25" width="14.28515625" customWidth="1"/>
    <col min="26" max="26" width="7.7109375" customWidth="1"/>
    <col min="27" max="27" width="13.7109375" customWidth="1"/>
    <col min="28" max="29" width="2.28515625" customWidth="1"/>
  </cols>
  <sheetData>
    <row r="1" spans="1:29" ht="4.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4"/>
      <c r="S1" s="4"/>
      <c r="T1" s="5"/>
      <c r="U1" s="4"/>
      <c r="V1" s="4"/>
      <c r="W1" s="4"/>
      <c r="X1" s="4"/>
      <c r="Y1" s="5"/>
      <c r="Z1" s="4"/>
      <c r="AA1" s="4"/>
      <c r="AB1" s="6"/>
      <c r="AC1" s="4"/>
    </row>
    <row r="2" spans="1:29" ht="42.75" customHeight="1">
      <c r="A2" s="1"/>
      <c r="B2" s="687" t="s">
        <v>0</v>
      </c>
      <c r="C2" s="688"/>
      <c r="D2" s="688"/>
      <c r="E2" s="683"/>
      <c r="F2" s="1"/>
      <c r="G2" s="7" t="s">
        <v>1</v>
      </c>
      <c r="H2" s="8"/>
      <c r="I2" s="8"/>
      <c r="J2" s="9" t="s">
        <v>2</v>
      </c>
      <c r="K2" s="1"/>
      <c r="L2" s="10" t="s">
        <v>3</v>
      </c>
      <c r="M2" s="11" t="s">
        <v>4</v>
      </c>
      <c r="N2" s="11" t="s">
        <v>5</v>
      </c>
      <c r="O2" s="11" t="s">
        <v>6</v>
      </c>
      <c r="P2" s="12" t="s">
        <v>7</v>
      </c>
      <c r="Q2" s="1"/>
      <c r="R2" s="13"/>
      <c r="S2" s="684" t="str">
        <f>"OLD REGIME ("&amp;"AGE="&amp;AGE&amp;")"</f>
        <v>OLD REGIME (AGE=40)</v>
      </c>
      <c r="T2" s="685"/>
      <c r="U2" s="685"/>
      <c r="V2" s="686"/>
      <c r="W2" s="14"/>
      <c r="X2" s="684" t="str">
        <f>"NEW REGIME ("&amp;"AGE="&amp;AGE&amp;")"</f>
        <v>NEW REGIME (AGE=40)</v>
      </c>
      <c r="Y2" s="685"/>
      <c r="Z2" s="685"/>
      <c r="AA2" s="686"/>
      <c r="AB2" s="15"/>
      <c r="AC2" s="4"/>
    </row>
    <row r="3" spans="1:29" ht="18" customHeight="1">
      <c r="A3" s="16"/>
      <c r="B3" s="697" t="s">
        <v>8</v>
      </c>
      <c r="C3" s="698"/>
      <c r="D3" s="689">
        <v>70850</v>
      </c>
      <c r="E3" s="690"/>
      <c r="F3" s="16"/>
      <c r="G3" s="677" t="s">
        <v>9</v>
      </c>
      <c r="H3" s="665"/>
      <c r="I3" s="666"/>
      <c r="J3" s="17"/>
      <c r="K3" s="16"/>
      <c r="L3" s="18">
        <v>45352</v>
      </c>
      <c r="M3" s="19">
        <v>5000</v>
      </c>
      <c r="N3" s="19"/>
      <c r="O3" s="19"/>
      <c r="P3" s="20"/>
      <c r="Q3" s="16"/>
      <c r="R3" s="21"/>
      <c r="S3" s="22" t="s">
        <v>10</v>
      </c>
      <c r="T3" s="23"/>
      <c r="U3" s="24" t="s">
        <v>11</v>
      </c>
      <c r="V3" s="25">
        <f>KEY!BR4</f>
        <v>1155840</v>
      </c>
      <c r="W3" s="26"/>
      <c r="X3" s="22" t="str">
        <f t="shared" ref="X3:X5" si="0">S3</f>
        <v>GROSS INCOME</v>
      </c>
      <c r="Y3" s="23"/>
      <c r="Z3" s="24" t="s">
        <v>11</v>
      </c>
      <c r="AA3" s="25">
        <f>V3</f>
        <v>1155840</v>
      </c>
      <c r="AB3" s="27"/>
      <c r="AC3" s="4"/>
    </row>
    <row r="4" spans="1:29" ht="18" customHeight="1">
      <c r="A4" s="1"/>
      <c r="B4" s="699"/>
      <c r="C4" s="700"/>
      <c r="D4" s="691"/>
      <c r="E4" s="692"/>
      <c r="F4" s="1"/>
      <c r="G4" s="677" t="s">
        <v>12</v>
      </c>
      <c r="H4" s="665"/>
      <c r="I4" s="666"/>
      <c r="J4" s="17"/>
      <c r="K4" s="1"/>
      <c r="L4" s="18">
        <f t="shared" ref="L4:L14" si="1">EDATE(L3,1)</f>
        <v>45383</v>
      </c>
      <c r="M4" s="19">
        <v>5000</v>
      </c>
      <c r="N4" s="19"/>
      <c r="O4" s="19"/>
      <c r="P4" s="20"/>
      <c r="Q4" s="1"/>
      <c r="R4" s="21"/>
      <c r="S4" s="28" t="s">
        <v>13</v>
      </c>
      <c r="T4" s="29"/>
      <c r="U4" s="30" t="s">
        <v>11</v>
      </c>
      <c r="V4" s="31">
        <f>KEY!BR5+KEY!BR6</f>
        <v>207410</v>
      </c>
      <c r="W4" s="26"/>
      <c r="X4" s="28" t="str">
        <f t="shared" si="0"/>
        <v>ELIGIBLE DEDUCTIONS</v>
      </c>
      <c r="Y4" s="29"/>
      <c r="Z4" s="30" t="s">
        <v>11</v>
      </c>
      <c r="AA4" s="31">
        <f>KEY!BR5+25000</f>
        <v>75000</v>
      </c>
      <c r="AB4" s="27"/>
      <c r="AC4" s="4"/>
    </row>
    <row r="5" spans="1:29" ht="18" customHeight="1">
      <c r="A5" s="1"/>
      <c r="B5" s="701" t="s">
        <v>14</v>
      </c>
      <c r="C5" s="673"/>
      <c r="D5" s="693" t="s">
        <v>15</v>
      </c>
      <c r="E5" s="694"/>
      <c r="F5" s="1"/>
      <c r="G5" s="677" t="s">
        <v>16</v>
      </c>
      <c r="H5" s="665"/>
      <c r="I5" s="666"/>
      <c r="J5" s="17"/>
      <c r="K5" s="1"/>
      <c r="L5" s="18">
        <f t="shared" si="1"/>
        <v>45413</v>
      </c>
      <c r="M5" s="19">
        <v>5000</v>
      </c>
      <c r="N5" s="19"/>
      <c r="O5" s="19"/>
      <c r="P5" s="20"/>
      <c r="Q5" s="1"/>
      <c r="R5" s="21"/>
      <c r="S5" s="32" t="s">
        <v>17</v>
      </c>
      <c r="T5" s="33"/>
      <c r="U5" s="34" t="s">
        <v>11</v>
      </c>
      <c r="V5" s="35">
        <f>KEY!BR11</f>
        <v>948430</v>
      </c>
      <c r="W5" s="26"/>
      <c r="X5" s="32" t="str">
        <f t="shared" si="0"/>
        <v>NET TAXABLE INCOME</v>
      </c>
      <c r="Y5" s="33"/>
      <c r="Z5" s="34" t="s">
        <v>11</v>
      </c>
      <c r="AA5" s="35">
        <f>KEY!BR10</f>
        <v>1080840</v>
      </c>
      <c r="AB5" s="27"/>
      <c r="AC5" s="4"/>
    </row>
    <row r="6" spans="1:29" ht="18" customHeight="1">
      <c r="A6" s="1"/>
      <c r="B6" s="674"/>
      <c r="C6" s="676"/>
      <c r="D6" s="695"/>
      <c r="E6" s="696"/>
      <c r="F6" s="1"/>
      <c r="G6" s="677" t="s">
        <v>18</v>
      </c>
      <c r="H6" s="665"/>
      <c r="I6" s="666"/>
      <c r="J6" s="17"/>
      <c r="K6" s="1"/>
      <c r="L6" s="18">
        <f t="shared" si="1"/>
        <v>45444</v>
      </c>
      <c r="M6" s="19">
        <v>5000</v>
      </c>
      <c r="N6" s="19"/>
      <c r="O6" s="19"/>
      <c r="P6" s="20"/>
      <c r="Q6" s="1"/>
      <c r="R6" s="21"/>
      <c r="S6" s="36" t="s">
        <v>19</v>
      </c>
      <c r="T6" s="37" t="s">
        <v>20</v>
      </c>
      <c r="U6" s="38" t="s">
        <v>21</v>
      </c>
      <c r="V6" s="39" t="s">
        <v>22</v>
      </c>
      <c r="W6" s="40"/>
      <c r="X6" s="36" t="s">
        <v>19</v>
      </c>
      <c r="Y6" s="37" t="s">
        <v>20</v>
      </c>
      <c r="Z6" s="38" t="s">
        <v>21</v>
      </c>
      <c r="AA6" s="39" t="s">
        <v>22</v>
      </c>
      <c r="AB6" s="27"/>
      <c r="AC6" s="4"/>
    </row>
    <row r="7" spans="1:29" ht="18" customHeight="1">
      <c r="A7" s="1"/>
      <c r="B7" s="679" t="s">
        <v>23</v>
      </c>
      <c r="C7" s="680"/>
      <c r="D7" s="680"/>
      <c r="E7" s="681"/>
      <c r="F7" s="1"/>
      <c r="G7" s="677" t="s">
        <v>24</v>
      </c>
      <c r="H7" s="665"/>
      <c r="I7" s="666"/>
      <c r="J7" s="17"/>
      <c r="K7" s="1"/>
      <c r="L7" s="18">
        <f t="shared" si="1"/>
        <v>45474</v>
      </c>
      <c r="M7" s="19">
        <v>5000</v>
      </c>
      <c r="N7" s="19"/>
      <c r="O7" s="19"/>
      <c r="P7" s="20"/>
      <c r="Q7" s="1"/>
      <c r="R7" s="21"/>
      <c r="S7" s="41" t="s">
        <v>25</v>
      </c>
      <c r="T7" s="42">
        <f>IF(AGE&lt;=60,KEY!AZ2,IF(AGE&gt;80,KEY!AZ20,KEY!AZ11))</f>
        <v>250000</v>
      </c>
      <c r="U7" s="43">
        <f>KEY!AY2</f>
        <v>0</v>
      </c>
      <c r="V7" s="44">
        <f t="shared" ref="V7:V10" si="2">ROUND(T7*U7,0)</f>
        <v>0</v>
      </c>
      <c r="W7" s="40"/>
      <c r="X7" s="41" t="s">
        <v>25</v>
      </c>
      <c r="Y7" s="42">
        <f>KEY!BF2</f>
        <v>300000</v>
      </c>
      <c r="Z7" s="43">
        <f>KEY!BE2</f>
        <v>0</v>
      </c>
      <c r="AA7" s="44">
        <f t="shared" ref="AA7:AA12" si="3">ROUND(Y7*Z7,0)</f>
        <v>0</v>
      </c>
      <c r="AB7" s="27"/>
      <c r="AC7" s="4"/>
    </row>
    <row r="8" spans="1:29" ht="18" customHeight="1">
      <c r="A8" s="1"/>
      <c r="B8" s="45" t="s">
        <v>26</v>
      </c>
      <c r="C8" s="46"/>
      <c r="D8" s="682">
        <v>45658</v>
      </c>
      <c r="E8" s="683"/>
      <c r="F8" s="1"/>
      <c r="G8" s="677" t="s">
        <v>27</v>
      </c>
      <c r="H8" s="665"/>
      <c r="I8" s="666"/>
      <c r="J8" s="17"/>
      <c r="K8" s="1"/>
      <c r="L8" s="18">
        <f t="shared" si="1"/>
        <v>45505</v>
      </c>
      <c r="M8" s="19">
        <v>5000</v>
      </c>
      <c r="N8" s="19"/>
      <c r="O8" s="19"/>
      <c r="P8" s="20"/>
      <c r="Q8" s="1"/>
      <c r="R8" s="21"/>
      <c r="S8" s="41" t="s">
        <v>28</v>
      </c>
      <c r="T8" s="42">
        <f>IF(AGE&lt;=60,KEY!AZ3,IF(AGE&gt;80,KEY!AZ21,KEY!AZ12))</f>
        <v>250000</v>
      </c>
      <c r="U8" s="43">
        <f>KEY!AY3</f>
        <v>0.05</v>
      </c>
      <c r="V8" s="44">
        <f t="shared" si="2"/>
        <v>12500</v>
      </c>
      <c r="W8" s="40"/>
      <c r="X8" s="41" t="s">
        <v>28</v>
      </c>
      <c r="Y8" s="42">
        <f>KEY!BF3</f>
        <v>400000</v>
      </c>
      <c r="Z8" s="43">
        <f>KEY!BE3</f>
        <v>0.05</v>
      </c>
      <c r="AA8" s="44">
        <f t="shared" si="3"/>
        <v>20000</v>
      </c>
      <c r="AB8" s="27"/>
      <c r="AC8" s="4"/>
    </row>
    <row r="9" spans="1:29" ht="18" customHeight="1">
      <c r="A9" s="1"/>
      <c r="B9" s="47" t="s">
        <v>29</v>
      </c>
      <c r="C9" s="48"/>
      <c r="D9" s="49">
        <v>45658</v>
      </c>
      <c r="E9" s="50">
        <v>14</v>
      </c>
      <c r="F9" s="1"/>
      <c r="G9" s="677" t="s">
        <v>30</v>
      </c>
      <c r="H9" s="665"/>
      <c r="I9" s="666"/>
      <c r="J9" s="17"/>
      <c r="K9" s="1"/>
      <c r="L9" s="18">
        <f t="shared" si="1"/>
        <v>45536</v>
      </c>
      <c r="M9" s="19">
        <v>5000</v>
      </c>
      <c r="N9" s="19"/>
      <c r="O9" s="19"/>
      <c r="P9" s="20"/>
      <c r="Q9" s="1"/>
      <c r="R9" s="21"/>
      <c r="S9" s="41" t="s">
        <v>31</v>
      </c>
      <c r="T9" s="42">
        <f>IF(AGE&lt;=60,KEY!AZ4,IF(AGE&gt;80,KEY!AZ22,KEY!AZ13))</f>
        <v>448430</v>
      </c>
      <c r="U9" s="43">
        <f>KEY!AY4</f>
        <v>0.2</v>
      </c>
      <c r="V9" s="44">
        <f t="shared" si="2"/>
        <v>89686</v>
      </c>
      <c r="W9" s="40"/>
      <c r="X9" s="41" t="s">
        <v>31</v>
      </c>
      <c r="Y9" s="42">
        <f>KEY!BF4</f>
        <v>300000</v>
      </c>
      <c r="Z9" s="43">
        <f>KEY!BE4</f>
        <v>0.1</v>
      </c>
      <c r="AA9" s="44">
        <f t="shared" si="3"/>
        <v>30000</v>
      </c>
      <c r="AB9" s="27"/>
      <c r="AC9" s="4"/>
    </row>
    <row r="10" spans="1:29" ht="18" customHeight="1">
      <c r="A10" s="1"/>
      <c r="B10" s="51" t="s">
        <v>32</v>
      </c>
      <c r="C10" s="52"/>
      <c r="D10" s="49" t="s">
        <v>33</v>
      </c>
      <c r="E10" s="50">
        <v>30</v>
      </c>
      <c r="F10" s="1"/>
      <c r="G10" s="664" t="s">
        <v>34</v>
      </c>
      <c r="H10" s="665"/>
      <c r="I10" s="666"/>
      <c r="J10" s="17"/>
      <c r="K10" s="1"/>
      <c r="L10" s="18">
        <f t="shared" si="1"/>
        <v>45566</v>
      </c>
      <c r="M10" s="19">
        <v>5000</v>
      </c>
      <c r="N10" s="19"/>
      <c r="O10" s="19"/>
      <c r="P10" s="20"/>
      <c r="Q10" s="1"/>
      <c r="R10" s="21"/>
      <c r="S10" s="41" t="s">
        <v>35</v>
      </c>
      <c r="T10" s="42">
        <f>IF(AGE&lt;=60,KEY!AZ5,IF(AGE&gt;80,KEY!AZ23,KEY!AZ14))</f>
        <v>0</v>
      </c>
      <c r="U10" s="43">
        <f>KEY!AY5</f>
        <v>0.3</v>
      </c>
      <c r="V10" s="44">
        <f t="shared" si="2"/>
        <v>0</v>
      </c>
      <c r="W10" s="40"/>
      <c r="X10" s="41" t="s">
        <v>35</v>
      </c>
      <c r="Y10" s="42">
        <f>KEY!BF5</f>
        <v>80840</v>
      </c>
      <c r="Z10" s="43">
        <f>KEY!BE5</f>
        <v>0.15</v>
      </c>
      <c r="AA10" s="44">
        <f t="shared" si="3"/>
        <v>12126</v>
      </c>
      <c r="AB10" s="27"/>
      <c r="AC10" s="4"/>
    </row>
    <row r="11" spans="1:29" ht="18" customHeight="1">
      <c r="A11" s="1"/>
      <c r="B11" s="53" t="s">
        <v>36</v>
      </c>
      <c r="C11" s="54"/>
      <c r="D11" s="55" t="s">
        <v>37</v>
      </c>
      <c r="E11" s="56">
        <f>CEILING(('ANNEXURE II'!M7+'ANNEXURE II'!M4)/E13,100)</f>
        <v>15800</v>
      </c>
      <c r="F11" s="1"/>
      <c r="G11" s="664" t="s">
        <v>38</v>
      </c>
      <c r="H11" s="665"/>
      <c r="I11" s="666"/>
      <c r="J11" s="17"/>
      <c r="K11" s="1"/>
      <c r="L11" s="18">
        <f t="shared" si="1"/>
        <v>45597</v>
      </c>
      <c r="M11" s="19">
        <v>5000</v>
      </c>
      <c r="N11" s="19"/>
      <c r="O11" s="19"/>
      <c r="P11" s="20"/>
      <c r="Q11" s="1"/>
      <c r="R11" s="21"/>
      <c r="S11" s="41" t="s">
        <v>39</v>
      </c>
      <c r="T11" s="42">
        <f>IF(AGE&lt;=60,KEY!AZ6,IF(AGE&gt;80,KEY!AZ24,KEY!AZ15))</f>
        <v>0</v>
      </c>
      <c r="U11" s="43" t="str">
        <f>KEY!AY6</f>
        <v>-</v>
      </c>
      <c r="V11" s="57" t="s">
        <v>40</v>
      </c>
      <c r="W11" s="40"/>
      <c r="X11" s="41" t="s">
        <v>39</v>
      </c>
      <c r="Y11" s="42">
        <f>KEY!BF6</f>
        <v>0</v>
      </c>
      <c r="Z11" s="43">
        <f>KEY!BE6</f>
        <v>0.2</v>
      </c>
      <c r="AA11" s="44">
        <f t="shared" si="3"/>
        <v>0</v>
      </c>
      <c r="AB11" s="27"/>
      <c r="AC11" s="4"/>
    </row>
    <row r="12" spans="1:29" ht="18" customHeight="1">
      <c r="A12" s="1"/>
      <c r="B12" s="47" t="s">
        <v>41</v>
      </c>
      <c r="C12" s="58"/>
      <c r="D12" s="59" t="s">
        <v>42</v>
      </c>
      <c r="E12" s="60">
        <v>8300</v>
      </c>
      <c r="F12" s="1"/>
      <c r="G12" s="664" t="s">
        <v>43</v>
      </c>
      <c r="H12" s="665"/>
      <c r="I12" s="666"/>
      <c r="J12" s="17"/>
      <c r="K12" s="1"/>
      <c r="L12" s="18">
        <f t="shared" si="1"/>
        <v>45627</v>
      </c>
      <c r="M12" s="19">
        <v>5000</v>
      </c>
      <c r="N12" s="19"/>
      <c r="O12" s="19"/>
      <c r="P12" s="20"/>
      <c r="Q12" s="1"/>
      <c r="R12" s="21"/>
      <c r="S12" s="41" t="s">
        <v>44</v>
      </c>
      <c r="T12" s="42">
        <f>IF(AGE&lt;=60,KEY!AZ7,IF(AGE&gt;80,KEY!AZ25,KEY!AZ16))</f>
        <v>0</v>
      </c>
      <c r="U12" s="43" t="str">
        <f>KEY!AY7</f>
        <v>-</v>
      </c>
      <c r="V12" s="57" t="s">
        <v>40</v>
      </c>
      <c r="W12" s="40"/>
      <c r="X12" s="41" t="s">
        <v>44</v>
      </c>
      <c r="Y12" s="42">
        <f>KEY!BF7</f>
        <v>0</v>
      </c>
      <c r="Z12" s="43">
        <f>KEY!BE7</f>
        <v>0.3</v>
      </c>
      <c r="AA12" s="44">
        <f t="shared" si="3"/>
        <v>0</v>
      </c>
      <c r="AB12" s="27"/>
      <c r="AC12" s="4"/>
    </row>
    <row r="13" spans="1:29" ht="18" customHeight="1">
      <c r="A13" s="1"/>
      <c r="B13" s="61" t="s">
        <v>45</v>
      </c>
      <c r="C13" s="62"/>
      <c r="D13" s="63" t="s">
        <v>46</v>
      </c>
      <c r="E13" s="64">
        <v>12</v>
      </c>
      <c r="F13" s="1"/>
      <c r="G13" s="678" t="s">
        <v>47</v>
      </c>
      <c r="H13" s="665"/>
      <c r="I13" s="666"/>
      <c r="J13" s="17"/>
      <c r="K13" s="1"/>
      <c r="L13" s="18">
        <f t="shared" si="1"/>
        <v>45658</v>
      </c>
      <c r="M13" s="19">
        <v>5000</v>
      </c>
      <c r="N13" s="19"/>
      <c r="O13" s="19"/>
      <c r="P13" s="20"/>
      <c r="Q13" s="1"/>
      <c r="R13" s="21"/>
      <c r="S13" s="65" t="s">
        <v>48</v>
      </c>
      <c r="T13" s="66">
        <f>SUM(T7:T12)</f>
        <v>948430</v>
      </c>
      <c r="U13" s="67" t="s">
        <v>11</v>
      </c>
      <c r="V13" s="68">
        <f>SUM(V7:V12)</f>
        <v>102186</v>
      </c>
      <c r="W13" s="26"/>
      <c r="X13" s="65" t="s">
        <v>48</v>
      </c>
      <c r="Y13" s="66">
        <f>SUM(Y7:Y12)</f>
        <v>1080840</v>
      </c>
      <c r="Z13" s="67" t="s">
        <v>11</v>
      </c>
      <c r="AA13" s="68">
        <f>SUM(AA7:AA12)</f>
        <v>62126</v>
      </c>
      <c r="AB13" s="27"/>
      <c r="AC13" s="4"/>
    </row>
    <row r="14" spans="1:29" ht="18" customHeight="1">
      <c r="A14" s="1"/>
      <c r="B14" s="69" t="s">
        <v>49</v>
      </c>
      <c r="C14" s="70"/>
      <c r="D14" s="71" t="s">
        <v>50</v>
      </c>
      <c r="E14" s="72">
        <v>30723</v>
      </c>
      <c r="F14" s="1"/>
      <c r="G14" s="671" t="s">
        <v>51</v>
      </c>
      <c r="H14" s="672"/>
      <c r="I14" s="673"/>
      <c r="J14" s="723" t="s">
        <v>52</v>
      </c>
      <c r="K14" s="1"/>
      <c r="L14" s="73">
        <f t="shared" si="1"/>
        <v>45689</v>
      </c>
      <c r="M14" s="74"/>
      <c r="N14" s="74"/>
      <c r="O14" s="74"/>
      <c r="P14" s="75"/>
      <c r="Q14" s="1"/>
      <c r="R14" s="21"/>
      <c r="S14" s="76" t="s">
        <v>53</v>
      </c>
      <c r="T14" s="77"/>
      <c r="U14" s="67"/>
      <c r="V14" s="78">
        <f>KEY!BL31</f>
        <v>0</v>
      </c>
      <c r="W14" s="40"/>
      <c r="X14" s="76" t="str">
        <f>S14</f>
        <v>LESS : Tax Rebate (87A)</v>
      </c>
      <c r="Y14" s="77"/>
      <c r="Z14" s="79"/>
      <c r="AA14" s="78">
        <f>KEY!BM31</f>
        <v>0</v>
      </c>
      <c r="AB14" s="27"/>
      <c r="AC14" s="4"/>
    </row>
    <row r="15" spans="1:29" ht="18" customHeight="1">
      <c r="A15" s="1"/>
      <c r="B15" s="746" t="str">
        <f>KEY!BQ20</f>
        <v>YOUR AGE : 40 YEARS - 1 MONTH(s) - 20 DAY(s)</v>
      </c>
      <c r="C15" s="707"/>
      <c r="D15" s="707"/>
      <c r="E15" s="707"/>
      <c r="F15" s="1"/>
      <c r="G15" s="674"/>
      <c r="H15" s="675"/>
      <c r="I15" s="676"/>
      <c r="J15" s="724"/>
      <c r="K15" s="1"/>
      <c r="L15" s="3"/>
      <c r="M15" s="1"/>
      <c r="N15" s="1"/>
      <c r="O15" s="1"/>
      <c r="P15" s="1"/>
      <c r="Q15" s="1"/>
      <c r="R15" s="21"/>
      <c r="S15" s="80" t="s">
        <v>54</v>
      </c>
      <c r="T15" s="81"/>
      <c r="U15" s="82"/>
      <c r="V15" s="83">
        <f>V13-V14</f>
        <v>102186</v>
      </c>
      <c r="W15" s="40"/>
      <c r="X15" s="80" t="s">
        <v>54</v>
      </c>
      <c r="Y15" s="81"/>
      <c r="Z15" s="82"/>
      <c r="AA15" s="83">
        <f>AA13-AA14</f>
        <v>62126</v>
      </c>
      <c r="AB15" s="27"/>
      <c r="AC15" s="4"/>
    </row>
    <row r="16" spans="1:29" ht="18" customHeight="1">
      <c r="A16" s="1"/>
      <c r="B16" s="747" t="str">
        <f>KEY!BQ18</f>
        <v>YOU ARE A GENERAL CITIZEN</v>
      </c>
      <c r="C16" s="675"/>
      <c r="D16" s="675"/>
      <c r="E16" s="675"/>
      <c r="F16" s="1"/>
      <c r="G16" s="1"/>
      <c r="H16" s="84"/>
      <c r="I16" s="84"/>
      <c r="J16" s="1"/>
      <c r="K16" s="1"/>
      <c r="L16" s="85" t="s">
        <v>55</v>
      </c>
      <c r="M16" s="86"/>
      <c r="N16" s="87"/>
      <c r="O16" s="717">
        <f>'ANNEXURE II'!I36</f>
        <v>0</v>
      </c>
      <c r="P16" s="718"/>
      <c r="Q16" s="1"/>
      <c r="R16" s="21"/>
      <c r="S16" s="80" t="s">
        <v>56</v>
      </c>
      <c r="T16" s="81"/>
      <c r="U16" s="82"/>
      <c r="V16" s="83">
        <f>KEY!BL34</f>
        <v>0</v>
      </c>
      <c r="W16" s="40"/>
      <c r="X16" s="80" t="s">
        <v>56</v>
      </c>
      <c r="Y16" s="81"/>
      <c r="Z16" s="82"/>
      <c r="AA16" s="83">
        <f>KEY!BM34</f>
        <v>0</v>
      </c>
      <c r="AB16" s="27"/>
      <c r="AC16" s="4"/>
    </row>
    <row r="17" spans="1:29" ht="18" customHeight="1">
      <c r="A17" s="1"/>
      <c r="B17" s="88" t="s">
        <v>57</v>
      </c>
      <c r="C17" s="89" t="s">
        <v>58</v>
      </c>
      <c r="D17" s="89" t="s">
        <v>59</v>
      </c>
      <c r="E17" s="90" t="str">
        <f>"AAS "&amp; D5</f>
        <v>AAS GPF</v>
      </c>
      <c r="F17" s="1"/>
      <c r="G17" s="765" t="s">
        <v>60</v>
      </c>
      <c r="H17" s="727"/>
      <c r="I17" s="91">
        <f>IF(AGE&lt;=60,KEY!BF36,IF(AND(AGE&lt;=60,AGE&gt;80),KEY!BG36,IF(AGE&gt;80,KEY!BH36,KEY!BJ36)))</f>
        <v>106273</v>
      </c>
      <c r="J17" s="92" t="str">
        <f>IF(AND(I17&lt;=I18,I19="OLD"),"OLD",IF(AND(I17&lt;=I18,I19="AUTO"),"OLD",IF(AND(I17&lt;=I18,I19="NEW"),"OLD","NEW")))</f>
        <v>NEW</v>
      </c>
      <c r="K17" s="1"/>
      <c r="L17" s="93" t="s">
        <v>61</v>
      </c>
      <c r="M17" s="94"/>
      <c r="N17" s="95"/>
      <c r="O17" s="719">
        <f>IF('ANNEXURE I'!B2="OLD",150000-'ANNEXURE II'!I36,0)</f>
        <v>0</v>
      </c>
      <c r="P17" s="720"/>
      <c r="Q17" s="1"/>
      <c r="R17" s="21"/>
      <c r="S17" s="96" t="s">
        <v>62</v>
      </c>
      <c r="T17" s="97"/>
      <c r="U17" s="43">
        <v>0.04</v>
      </c>
      <c r="V17" s="98">
        <f>ROUND((V15+V16)*4%,0)</f>
        <v>4087</v>
      </c>
      <c r="W17" s="40"/>
      <c r="X17" s="96" t="str">
        <f t="shared" ref="X17:X18" si="4">S17</f>
        <v xml:space="preserve">ADD : CESS </v>
      </c>
      <c r="Y17" s="97"/>
      <c r="Z17" s="43">
        <v>0.04</v>
      </c>
      <c r="AA17" s="98">
        <f>ROUND((AA15+AA16)*4%,0)</f>
        <v>2485</v>
      </c>
      <c r="AB17" s="27"/>
      <c r="AC17" s="4"/>
    </row>
    <row r="18" spans="1:29" ht="18" customHeight="1">
      <c r="A18" s="1"/>
      <c r="B18" s="99">
        <f>KEY!Y46</f>
        <v>0</v>
      </c>
      <c r="C18" s="100">
        <f>IFERROR(ROUND(DATA!B18*'ANNEXURE I'!AC18,0),0)</f>
        <v>0</v>
      </c>
      <c r="D18" s="100">
        <f>IF('ANNEXURE I'!AB18=10%,MIN(ROUND(DATA!B18*'ANNEXURE I'!AB18,0),11000),IF('ANNEXURE I'!AB18=12%,MIN(ROUND(DATA!B18*'ANNEXURE I'!AB18,0),13000), IF('ANNEXURE I'!AB18=16%,MIN(ROUND(DATA!B18*'ANNEXURE I'!AB18,0),17000),IF('ANNEXURE I'!AB18=24%,MIN(ROUND(DATA!B18*'ANNEXURE I'!AB18,0),25000),ROUND(DATA!B18*'ANNEXURE I'!AB18,0)))))</f>
        <v>0</v>
      </c>
      <c r="E18" s="101">
        <f>IF(D5="CPS",ROUND((B18+C18)/10,0),0)</f>
        <v>0</v>
      </c>
      <c r="F18" s="1"/>
      <c r="G18" s="767" t="s">
        <v>63</v>
      </c>
      <c r="H18" s="666"/>
      <c r="I18" s="102">
        <f>KEY!BM36</f>
        <v>64611</v>
      </c>
      <c r="J18" s="754" t="s">
        <v>64</v>
      </c>
      <c r="K18" s="1"/>
      <c r="L18" s="93" t="s">
        <v>65</v>
      </c>
      <c r="M18" s="94"/>
      <c r="N18" s="95"/>
      <c r="O18" s="719">
        <f>'ANNEXURE II'!I37</f>
        <v>0</v>
      </c>
      <c r="P18" s="720"/>
      <c r="Q18" s="1"/>
      <c r="R18" s="21"/>
      <c r="S18" s="103" t="s">
        <v>66</v>
      </c>
      <c r="T18" s="104"/>
      <c r="U18" s="105" t="str">
        <f>U5</f>
        <v>→</v>
      </c>
      <c r="V18" s="106">
        <f>V15+V16+V17</f>
        <v>106273</v>
      </c>
      <c r="W18" s="40"/>
      <c r="X18" s="103" t="str">
        <f t="shared" si="4"/>
        <v>TOTAL TAX LIABILITY</v>
      </c>
      <c r="Y18" s="104"/>
      <c r="Z18" s="105" t="str">
        <f>Z5</f>
        <v>→</v>
      </c>
      <c r="AA18" s="106">
        <f>AA15+AA16+AA17</f>
        <v>64611</v>
      </c>
      <c r="AB18" s="27"/>
      <c r="AC18" s="4"/>
    </row>
    <row r="19" spans="1:29" ht="18" customHeight="1">
      <c r="A19" s="1"/>
      <c r="B19" s="107"/>
      <c r="C19" s="108"/>
      <c r="D19" s="108"/>
      <c r="E19" s="109"/>
      <c r="F19" s="1"/>
      <c r="G19" s="766" t="s">
        <v>67</v>
      </c>
      <c r="H19" s="670"/>
      <c r="I19" s="110" t="s">
        <v>68</v>
      </c>
      <c r="J19" s="724"/>
      <c r="K19" s="1"/>
      <c r="L19" s="111" t="s">
        <v>61</v>
      </c>
      <c r="M19" s="112"/>
      <c r="N19" s="113"/>
      <c r="O19" s="721">
        <f>IF('ANNEXURE I'!B2="OLD",50000-'ANNEXURE II'!I37,0)</f>
        <v>0</v>
      </c>
      <c r="P19" s="722"/>
      <c r="Q19" s="1"/>
      <c r="R19" s="114"/>
      <c r="S19" s="115"/>
      <c r="T19" s="116"/>
      <c r="U19" s="117"/>
      <c r="V19" s="118"/>
      <c r="W19" s="119"/>
      <c r="X19" s="115"/>
      <c r="Y19" s="116"/>
      <c r="Z19" s="117"/>
      <c r="AA19" s="118"/>
      <c r="AB19" s="120"/>
      <c r="AC19" s="4"/>
    </row>
    <row r="20" spans="1:29" ht="9.75" customHeight="1">
      <c r="A20" s="1"/>
      <c r="B20" s="121"/>
      <c r="C20" s="121"/>
      <c r="D20" s="121"/>
      <c r="E20" s="121"/>
      <c r="F20" s="1"/>
      <c r="G20" s="122"/>
      <c r="H20" s="123"/>
      <c r="I20" s="123"/>
      <c r="J20" s="123"/>
      <c r="K20" s="1"/>
      <c r="L20" s="124"/>
      <c r="M20" s="124"/>
      <c r="N20" s="124"/>
      <c r="O20" s="124"/>
      <c r="P20" s="124"/>
      <c r="Q20" s="1"/>
      <c r="R20" s="4"/>
      <c r="S20" s="4"/>
      <c r="T20" s="5"/>
      <c r="U20" s="4"/>
      <c r="V20" s="4"/>
      <c r="W20" s="4"/>
      <c r="X20" s="4"/>
      <c r="Y20" s="5"/>
      <c r="Z20" s="4"/>
      <c r="AA20" s="4"/>
      <c r="AB20" s="6"/>
      <c r="AC20" s="4"/>
    </row>
    <row r="21" spans="1:29" ht="39.75" customHeight="1">
      <c r="A21" s="1"/>
      <c r="B21" s="771" t="s">
        <v>69</v>
      </c>
      <c r="C21" s="680"/>
      <c r="D21" s="680"/>
      <c r="E21" s="760"/>
      <c r="F21" s="1"/>
      <c r="G21" s="758" t="s">
        <v>70</v>
      </c>
      <c r="H21" s="688"/>
      <c r="I21" s="683"/>
      <c r="J21" s="125" t="s">
        <v>71</v>
      </c>
      <c r="K21" s="1"/>
      <c r="L21" s="761" t="str">
        <f>IF((O16+O18)&lt;200000,"YOU HAVE NOT REACHED
the Savings Limit u/s 80C","YOU HAVE REACHED
the Savings limit u/s 80C")</f>
        <v>YOU HAVE NOT REACHED
the Savings Limit u/s 80C</v>
      </c>
      <c r="M21" s="680"/>
      <c r="N21" s="680"/>
      <c r="O21" s="680"/>
      <c r="P21" s="760"/>
      <c r="Q21" s="1"/>
      <c r="R21" s="768" t="str">
        <f>IF('ANNEXURE I'!B2="OLD","మీ Tax OLD REGIME లో Prepare చెయ్యబడుతుంది.
Savings &amp; Exemptions అనుమతించబడుతాయి.","మీ Tax NEW REGIME లో Prepare చెయ్యబడుతుంది
Savings &amp; Exemptions అన్నీ ZERO అయ్యాయి.")</f>
        <v>మీ Tax NEW REGIME లో Prepare చెయ్యబడుతుంది
Savings &amp; Exemptions అన్నీ ZERO అయ్యాయి.</v>
      </c>
      <c r="S21" s="769"/>
      <c r="T21" s="769"/>
      <c r="U21" s="769"/>
      <c r="V21" s="770"/>
      <c r="W21" s="4"/>
      <c r="X21" s="759" t="s">
        <v>72</v>
      </c>
      <c r="Y21" s="680"/>
      <c r="Z21" s="680"/>
      <c r="AA21" s="680"/>
      <c r="AB21" s="760"/>
      <c r="AC21" s="4"/>
    </row>
    <row r="22" spans="1:29" ht="9.75" customHeight="1">
      <c r="A22" s="1"/>
      <c r="B22" s="126"/>
      <c r="C22" s="127"/>
      <c r="D22" s="127"/>
      <c r="E22" s="127"/>
      <c r="F22" s="1"/>
      <c r="G22" s="128"/>
      <c r="H22" s="129"/>
      <c r="I22" s="129"/>
      <c r="J22" s="129"/>
      <c r="K22" s="1"/>
      <c r="L22" s="124"/>
      <c r="M22" s="124"/>
      <c r="N22" s="124"/>
      <c r="O22" s="124"/>
      <c r="P22" s="124"/>
      <c r="Q22" s="1"/>
      <c r="R22" s="130"/>
      <c r="S22" s="130"/>
      <c r="T22" s="130"/>
      <c r="U22" s="130"/>
      <c r="V22" s="130"/>
      <c r="W22" s="4"/>
      <c r="X22" s="130"/>
      <c r="Y22" s="130"/>
      <c r="Z22" s="130"/>
      <c r="AA22" s="130"/>
      <c r="AB22" s="130"/>
      <c r="AC22" s="4"/>
    </row>
    <row r="23" spans="1:29" ht="22.5" customHeight="1">
      <c r="A23" s="1"/>
      <c r="B23" s="748" t="s">
        <v>73</v>
      </c>
      <c r="C23" s="762" t="s">
        <v>74</v>
      </c>
      <c r="D23" s="764" t="s">
        <v>75</v>
      </c>
      <c r="E23" s="752" t="s">
        <v>76</v>
      </c>
      <c r="F23" s="1"/>
      <c r="G23" s="750" t="s">
        <v>77</v>
      </c>
      <c r="H23" s="707"/>
      <c r="I23" s="707"/>
      <c r="J23" s="690"/>
      <c r="K23" s="121"/>
      <c r="L23" s="778" t="s">
        <v>78</v>
      </c>
      <c r="M23" s="707"/>
      <c r="N23" s="707"/>
      <c r="O23" s="707"/>
      <c r="P23" s="690"/>
      <c r="Q23" s="131"/>
      <c r="R23" s="777" t="s">
        <v>79</v>
      </c>
      <c r="S23" s="707"/>
      <c r="T23" s="707"/>
      <c r="U23" s="707"/>
      <c r="V23" s="690"/>
      <c r="W23" s="4"/>
      <c r="X23" s="772" t="s">
        <v>80</v>
      </c>
      <c r="Y23" s="707"/>
      <c r="Z23" s="707"/>
      <c r="AA23" s="707"/>
      <c r="AB23" s="690"/>
      <c r="AC23" s="4"/>
    </row>
    <row r="24" spans="1:29" ht="22.5" customHeight="1">
      <c r="A24" s="1"/>
      <c r="B24" s="749"/>
      <c r="C24" s="763"/>
      <c r="D24" s="763"/>
      <c r="E24" s="753"/>
      <c r="F24" s="1"/>
      <c r="G24" s="699"/>
      <c r="H24" s="751"/>
      <c r="I24" s="751"/>
      <c r="J24" s="692"/>
      <c r="K24" s="121"/>
      <c r="L24" s="674"/>
      <c r="M24" s="675"/>
      <c r="N24" s="675"/>
      <c r="O24" s="675"/>
      <c r="P24" s="696"/>
      <c r="Q24" s="131"/>
      <c r="R24" s="674"/>
      <c r="S24" s="675"/>
      <c r="T24" s="675"/>
      <c r="U24" s="675"/>
      <c r="V24" s="696"/>
      <c r="W24" s="4"/>
      <c r="X24" s="674"/>
      <c r="Y24" s="675"/>
      <c r="Z24" s="675"/>
      <c r="AA24" s="675"/>
      <c r="AB24" s="696"/>
      <c r="AC24" s="4"/>
    </row>
    <row r="25" spans="1:29" ht="18" customHeight="1">
      <c r="A25" s="1"/>
      <c r="B25" s="132" t="s">
        <v>81</v>
      </c>
      <c r="C25" s="133">
        <v>150</v>
      </c>
      <c r="D25" s="134" t="s">
        <v>82</v>
      </c>
      <c r="E25" s="135"/>
      <c r="F25" s="1"/>
      <c r="G25" s="710" t="s">
        <v>83</v>
      </c>
      <c r="H25" s="665"/>
      <c r="I25" s="666"/>
      <c r="J25" s="17"/>
      <c r="K25" s="136"/>
      <c r="L25" s="137" t="s">
        <v>84</v>
      </c>
      <c r="M25" s="725" t="s">
        <v>85</v>
      </c>
      <c r="N25" s="688"/>
      <c r="O25" s="688"/>
      <c r="P25" s="683"/>
      <c r="Q25" s="1"/>
      <c r="R25" s="726" t="s">
        <v>86</v>
      </c>
      <c r="S25" s="727"/>
      <c r="T25" s="725" t="s">
        <v>87</v>
      </c>
      <c r="U25" s="688"/>
      <c r="V25" s="683"/>
      <c r="W25" s="4"/>
      <c r="X25" s="138" t="s">
        <v>84</v>
      </c>
      <c r="Y25" s="773"/>
      <c r="Z25" s="688"/>
      <c r="AA25" s="688"/>
      <c r="AB25" s="683"/>
      <c r="AC25" s="4"/>
    </row>
    <row r="26" spans="1:29" ht="18" customHeight="1">
      <c r="A26" s="1"/>
      <c r="B26" s="132" t="s">
        <v>88</v>
      </c>
      <c r="C26" s="133"/>
      <c r="D26" s="134" t="s">
        <v>82</v>
      </c>
      <c r="E26" s="135"/>
      <c r="F26" s="1"/>
      <c r="G26" s="775" t="s">
        <v>89</v>
      </c>
      <c r="H26" s="665"/>
      <c r="I26" s="666"/>
      <c r="J26" s="17"/>
      <c r="K26" s="136"/>
      <c r="L26" s="139" t="s">
        <v>90</v>
      </c>
      <c r="M26" s="704" t="s">
        <v>91</v>
      </c>
      <c r="N26" s="665"/>
      <c r="O26" s="665"/>
      <c r="P26" s="705"/>
      <c r="Q26" s="1"/>
      <c r="R26" s="779" t="s">
        <v>90</v>
      </c>
      <c r="S26" s="666"/>
      <c r="T26" s="704" t="s">
        <v>92</v>
      </c>
      <c r="U26" s="665"/>
      <c r="V26" s="705"/>
      <c r="W26" s="4"/>
      <c r="X26" s="140" t="s">
        <v>93</v>
      </c>
      <c r="Y26" s="774"/>
      <c r="Z26" s="665"/>
      <c r="AA26" s="665"/>
      <c r="AB26" s="705"/>
      <c r="AC26" s="4"/>
    </row>
    <row r="27" spans="1:29" ht="18" customHeight="1">
      <c r="A27" s="1"/>
      <c r="B27" s="132" t="s">
        <v>94</v>
      </c>
      <c r="C27" s="133"/>
      <c r="D27" s="134" t="s">
        <v>82</v>
      </c>
      <c r="E27" s="135"/>
      <c r="F27" s="1"/>
      <c r="G27" s="711" t="s">
        <v>95</v>
      </c>
      <c r="H27" s="665"/>
      <c r="I27" s="666"/>
      <c r="J27" s="17"/>
      <c r="K27" s="136"/>
      <c r="L27" s="139" t="s">
        <v>96</v>
      </c>
      <c r="M27" s="776">
        <v>123456</v>
      </c>
      <c r="N27" s="665"/>
      <c r="O27" s="665"/>
      <c r="P27" s="705"/>
      <c r="Q27" s="1"/>
      <c r="R27" s="715" t="s">
        <v>97</v>
      </c>
      <c r="S27" s="666"/>
      <c r="T27" s="704" t="s">
        <v>98</v>
      </c>
      <c r="U27" s="665"/>
      <c r="V27" s="705"/>
      <c r="W27" s="4"/>
      <c r="X27" s="140" t="s">
        <v>99</v>
      </c>
      <c r="Y27" s="744"/>
      <c r="Z27" s="665"/>
      <c r="AA27" s="665"/>
      <c r="AB27" s="705"/>
      <c r="AC27" s="4"/>
    </row>
    <row r="28" spans="1:29" ht="18" customHeight="1">
      <c r="A28" s="1"/>
      <c r="B28" s="141" t="s">
        <v>100</v>
      </c>
      <c r="C28" s="133"/>
      <c r="D28" s="134" t="s">
        <v>82</v>
      </c>
      <c r="E28" s="135"/>
      <c r="F28" s="1"/>
      <c r="G28" s="710" t="s">
        <v>101</v>
      </c>
      <c r="H28" s="665"/>
      <c r="I28" s="666"/>
      <c r="J28" s="17"/>
      <c r="K28" s="136"/>
      <c r="L28" s="139" t="s">
        <v>102</v>
      </c>
      <c r="M28" s="704" t="s">
        <v>103</v>
      </c>
      <c r="N28" s="665"/>
      <c r="O28" s="665"/>
      <c r="P28" s="705"/>
      <c r="Q28" s="1"/>
      <c r="R28" s="715" t="s">
        <v>104</v>
      </c>
      <c r="S28" s="666"/>
      <c r="T28" s="704"/>
      <c r="U28" s="665"/>
      <c r="V28" s="705"/>
      <c r="W28" s="4"/>
      <c r="X28" s="140" t="s">
        <v>105</v>
      </c>
      <c r="Y28" s="744"/>
      <c r="Z28" s="665"/>
      <c r="AA28" s="665"/>
      <c r="AB28" s="705"/>
      <c r="AC28" s="4"/>
    </row>
    <row r="29" spans="1:29" ht="18" customHeight="1">
      <c r="A29" s="1"/>
      <c r="B29" s="141" t="s">
        <v>106</v>
      </c>
      <c r="C29" s="133"/>
      <c r="D29" s="134" t="s">
        <v>82</v>
      </c>
      <c r="E29" s="135"/>
      <c r="F29" s="1"/>
      <c r="G29" s="711" t="s">
        <v>107</v>
      </c>
      <c r="H29" s="665"/>
      <c r="I29" s="666"/>
      <c r="J29" s="17"/>
      <c r="K29" s="136"/>
      <c r="L29" s="139" t="s">
        <v>108</v>
      </c>
      <c r="M29" s="704" t="s">
        <v>109</v>
      </c>
      <c r="N29" s="665"/>
      <c r="O29" s="665"/>
      <c r="P29" s="705"/>
      <c r="Q29" s="1"/>
      <c r="R29" s="715" t="s">
        <v>110</v>
      </c>
      <c r="S29" s="666"/>
      <c r="T29" s="704" t="s">
        <v>111</v>
      </c>
      <c r="U29" s="665"/>
      <c r="V29" s="705"/>
      <c r="W29" s="4"/>
      <c r="X29" s="140" t="s">
        <v>112</v>
      </c>
      <c r="Y29" s="744"/>
      <c r="Z29" s="665"/>
      <c r="AA29" s="665"/>
      <c r="AB29" s="705"/>
      <c r="AC29" s="4"/>
    </row>
    <row r="30" spans="1:29" ht="18" customHeight="1">
      <c r="A30" s="1"/>
      <c r="B30" s="142" t="s">
        <v>113</v>
      </c>
      <c r="C30" s="63">
        <v>10000</v>
      </c>
      <c r="D30" s="134" t="s">
        <v>82</v>
      </c>
      <c r="E30" s="143"/>
      <c r="F30" s="1"/>
      <c r="G30" s="710" t="s">
        <v>114</v>
      </c>
      <c r="H30" s="665"/>
      <c r="I30" s="666"/>
      <c r="J30" s="17"/>
      <c r="K30" s="136"/>
      <c r="L30" s="139" t="s">
        <v>115</v>
      </c>
      <c r="M30" s="704" t="s">
        <v>116</v>
      </c>
      <c r="N30" s="665"/>
      <c r="O30" s="665"/>
      <c r="P30" s="705"/>
      <c r="Q30" s="1"/>
      <c r="R30" s="715" t="s">
        <v>115</v>
      </c>
      <c r="S30" s="666"/>
      <c r="T30" s="704" t="s">
        <v>117</v>
      </c>
      <c r="U30" s="665"/>
      <c r="V30" s="705"/>
      <c r="W30" s="4"/>
      <c r="X30" s="140" t="s">
        <v>118</v>
      </c>
      <c r="Y30" s="744"/>
      <c r="Z30" s="665"/>
      <c r="AA30" s="665"/>
      <c r="AB30" s="705"/>
      <c r="AC30" s="4"/>
    </row>
    <row r="31" spans="1:29" ht="18" customHeight="1">
      <c r="A31" s="1"/>
      <c r="B31" s="142" t="s">
        <v>119</v>
      </c>
      <c r="C31" s="63">
        <v>2500</v>
      </c>
      <c r="D31" s="134" t="s">
        <v>82</v>
      </c>
      <c r="E31" s="143"/>
      <c r="F31" s="1"/>
      <c r="G31" s="711" t="s">
        <v>120</v>
      </c>
      <c r="H31" s="665"/>
      <c r="I31" s="666"/>
      <c r="J31" s="17"/>
      <c r="K31" s="136"/>
      <c r="L31" s="139" t="s">
        <v>112</v>
      </c>
      <c r="M31" s="704" t="s">
        <v>117</v>
      </c>
      <c r="N31" s="665"/>
      <c r="O31" s="665"/>
      <c r="P31" s="705"/>
      <c r="Q31" s="1"/>
      <c r="R31" s="715" t="s">
        <v>112</v>
      </c>
      <c r="S31" s="666"/>
      <c r="T31" s="704" t="s">
        <v>117</v>
      </c>
      <c r="U31" s="665"/>
      <c r="V31" s="705"/>
      <c r="W31" s="4"/>
      <c r="X31" s="144" t="s">
        <v>121</v>
      </c>
      <c r="Y31" s="712"/>
      <c r="Z31" s="669"/>
      <c r="AA31" s="669"/>
      <c r="AB31" s="713"/>
      <c r="AC31" s="4"/>
    </row>
    <row r="32" spans="1:29" ht="18" customHeight="1">
      <c r="A32" s="1"/>
      <c r="B32" s="142" t="s">
        <v>122</v>
      </c>
      <c r="C32" s="63">
        <v>60</v>
      </c>
      <c r="D32" s="134" t="s">
        <v>82</v>
      </c>
      <c r="E32" s="143"/>
      <c r="F32" s="1"/>
      <c r="G32" s="667" t="s">
        <v>123</v>
      </c>
      <c r="H32" s="665"/>
      <c r="I32" s="666"/>
      <c r="J32" s="145"/>
      <c r="K32" s="136"/>
      <c r="L32" s="139" t="s">
        <v>118</v>
      </c>
      <c r="M32" s="704" t="s">
        <v>124</v>
      </c>
      <c r="N32" s="665"/>
      <c r="O32" s="665"/>
      <c r="P32" s="705"/>
      <c r="Q32" s="1"/>
      <c r="R32" s="715" t="s">
        <v>118</v>
      </c>
      <c r="S32" s="666"/>
      <c r="T32" s="704" t="str">
        <f>M32</f>
        <v>NANDYAL</v>
      </c>
      <c r="U32" s="665"/>
      <c r="V32" s="705"/>
      <c r="W32" s="4"/>
      <c r="X32" s="706" t="str">
        <f>IF(AND(E12&lt;=3000),("YOU NEED NOT SUBMIT RENT RECEIPT.
Kindly Check the Rent Field Cell Once."),  IF(AND(E12&gt;3000,E12&lt;=8333),("YOU SHOULD SUBMIT RENT RECEIPT
WITHOUT PAN OF HOUSE OWNER"),  IF(AND(E12&gt;8333),("YOU SHOULD SUBMIT RENT RECEIPT
WITH PAN OF HOUSE OWNER"))))</f>
        <v>YOU SHOULD SUBMIT RENT RECEIPT
WITHOUT PAN OF HOUSE OWNER</v>
      </c>
      <c r="Y32" s="707"/>
      <c r="Z32" s="707"/>
      <c r="AA32" s="707"/>
      <c r="AB32" s="690"/>
      <c r="AC32" s="4"/>
    </row>
    <row r="33" spans="1:29" ht="18" customHeight="1">
      <c r="A33" s="1"/>
      <c r="B33" s="142" t="s">
        <v>125</v>
      </c>
      <c r="C33" s="63">
        <v>200</v>
      </c>
      <c r="D33" s="134" t="s">
        <v>82</v>
      </c>
      <c r="E33" s="146"/>
      <c r="F33" s="1"/>
      <c r="G33" s="667" t="s">
        <v>126</v>
      </c>
      <c r="H33" s="665"/>
      <c r="I33" s="666"/>
      <c r="J33" s="17"/>
      <c r="K33" s="136"/>
      <c r="L33" s="139" t="s">
        <v>127</v>
      </c>
      <c r="M33" s="704" t="s">
        <v>128</v>
      </c>
      <c r="N33" s="665"/>
      <c r="O33" s="665"/>
      <c r="P33" s="705"/>
      <c r="Q33" s="1"/>
      <c r="R33" s="745" t="s">
        <v>129</v>
      </c>
      <c r="S33" s="672"/>
      <c r="T33" s="672"/>
      <c r="U33" s="672"/>
      <c r="V33" s="694"/>
      <c r="W33" s="4"/>
      <c r="X33" s="708"/>
      <c r="Y33" s="703"/>
      <c r="Z33" s="703"/>
      <c r="AA33" s="703"/>
      <c r="AB33" s="709"/>
      <c r="AC33" s="4"/>
    </row>
    <row r="34" spans="1:29" ht="18" customHeight="1">
      <c r="A34" s="1"/>
      <c r="B34" s="147" t="s">
        <v>130</v>
      </c>
      <c r="C34" s="63">
        <v>225</v>
      </c>
      <c r="D34" s="134" t="s">
        <v>82</v>
      </c>
      <c r="E34" s="143"/>
      <c r="F34" s="1"/>
      <c r="G34" s="668" t="s">
        <v>131</v>
      </c>
      <c r="H34" s="669"/>
      <c r="I34" s="670"/>
      <c r="J34" s="148"/>
      <c r="K34" s="136"/>
      <c r="L34" s="149" t="str">
        <f>IF(D5="CPS","PRAN No.","GPF/ZPPF No.")</f>
        <v>GPF/ZPPF No.</v>
      </c>
      <c r="M34" s="714">
        <v>9963535304</v>
      </c>
      <c r="N34" s="669"/>
      <c r="O34" s="669"/>
      <c r="P34" s="713"/>
      <c r="Q34" s="1"/>
      <c r="R34" s="674"/>
      <c r="S34" s="675"/>
      <c r="T34" s="675"/>
      <c r="U34" s="675"/>
      <c r="V34" s="696"/>
      <c r="W34" s="4"/>
      <c r="X34" s="674"/>
      <c r="Y34" s="675"/>
      <c r="Z34" s="675"/>
      <c r="AA34" s="675"/>
      <c r="AB34" s="696"/>
      <c r="AC34" s="4"/>
    </row>
    <row r="35" spans="1:29" ht="18" customHeight="1">
      <c r="A35" s="1"/>
      <c r="B35" s="147" t="s">
        <v>132</v>
      </c>
      <c r="C35" s="63"/>
      <c r="D35" s="134" t="s">
        <v>82</v>
      </c>
      <c r="E35" s="143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4"/>
      <c r="S35" s="4"/>
      <c r="T35" s="5"/>
      <c r="U35" s="4"/>
      <c r="V35" s="4"/>
      <c r="W35" s="4"/>
      <c r="X35" s="4"/>
      <c r="Y35" s="5"/>
      <c r="Z35" s="4"/>
      <c r="AA35" s="4"/>
      <c r="AB35" s="6"/>
      <c r="AC35" s="4"/>
    </row>
    <row r="36" spans="1:29" ht="18" customHeight="1">
      <c r="A36" s="1"/>
      <c r="B36" s="142" t="s">
        <v>133</v>
      </c>
      <c r="C36" s="63">
        <v>20</v>
      </c>
      <c r="D36" s="150" t="s">
        <v>134</v>
      </c>
      <c r="E36" s="143">
        <v>50</v>
      </c>
      <c r="F36" s="1"/>
      <c r="G36" s="151" t="s">
        <v>135</v>
      </c>
      <c r="H36" s="152"/>
      <c r="I36" s="741">
        <f>DATE(YEAR(D8)-2,MONTH(D8),DAY(D8))</f>
        <v>44927</v>
      </c>
      <c r="J36" s="742"/>
      <c r="K36" s="1"/>
      <c r="L36" s="716" t="s">
        <v>136</v>
      </c>
      <c r="M36" s="707"/>
      <c r="N36" s="707"/>
      <c r="O36" s="707"/>
      <c r="P36" s="690"/>
      <c r="Q36" s="1"/>
      <c r="R36" s="736" t="s">
        <v>137</v>
      </c>
      <c r="S36" s="729"/>
      <c r="T36" s="729"/>
      <c r="U36" s="729"/>
      <c r="V36" s="730"/>
      <c r="W36" s="4"/>
      <c r="X36" s="728" t="s">
        <v>138</v>
      </c>
      <c r="Y36" s="729"/>
      <c r="Z36" s="729"/>
      <c r="AA36" s="729"/>
      <c r="AB36" s="730"/>
      <c r="AC36" s="4"/>
    </row>
    <row r="37" spans="1:29" ht="18" customHeight="1">
      <c r="A37" s="1"/>
      <c r="B37" s="132" t="s">
        <v>139</v>
      </c>
      <c r="C37" s="153">
        <v>0.1</v>
      </c>
      <c r="D37" s="134" t="s">
        <v>82</v>
      </c>
      <c r="E37" s="154"/>
      <c r="F37" s="1"/>
      <c r="G37" s="151" t="s">
        <v>140</v>
      </c>
      <c r="H37" s="152"/>
      <c r="I37" s="741">
        <f>DATE(YEAR(D8)-1,MONTH(D8),DAY(D8))</f>
        <v>45292</v>
      </c>
      <c r="J37" s="742"/>
      <c r="K37" s="1"/>
      <c r="L37" s="708"/>
      <c r="M37" s="703"/>
      <c r="N37" s="703"/>
      <c r="O37" s="703"/>
      <c r="P37" s="709"/>
      <c r="Q37" s="1"/>
      <c r="R37" s="731"/>
      <c r="S37" s="703"/>
      <c r="T37" s="703"/>
      <c r="U37" s="703"/>
      <c r="V37" s="732"/>
      <c r="W37" s="4"/>
      <c r="X37" s="731"/>
      <c r="Y37" s="703"/>
      <c r="Z37" s="703"/>
      <c r="AA37" s="703"/>
      <c r="AB37" s="732"/>
      <c r="AC37" s="4"/>
    </row>
    <row r="38" spans="1:29" ht="18" customHeight="1">
      <c r="A38" s="1"/>
      <c r="B38" s="132" t="s">
        <v>141</v>
      </c>
      <c r="C38" s="133"/>
      <c r="D38" s="134" t="s">
        <v>82</v>
      </c>
      <c r="E38" s="135"/>
      <c r="F38" s="1"/>
      <c r="G38" s="155" t="s">
        <v>142</v>
      </c>
      <c r="H38" s="156"/>
      <c r="I38" s="157" t="s">
        <v>33</v>
      </c>
      <c r="J38" s="158">
        <v>0</v>
      </c>
      <c r="K38" s="1"/>
      <c r="L38" s="708"/>
      <c r="M38" s="703"/>
      <c r="N38" s="703"/>
      <c r="O38" s="703"/>
      <c r="P38" s="709"/>
      <c r="Q38" s="1"/>
      <c r="R38" s="731"/>
      <c r="S38" s="703"/>
      <c r="T38" s="703"/>
      <c r="U38" s="703"/>
      <c r="V38" s="732"/>
      <c r="W38" s="4"/>
      <c r="X38" s="731"/>
      <c r="Y38" s="703"/>
      <c r="Z38" s="703"/>
      <c r="AA38" s="703"/>
      <c r="AB38" s="732"/>
      <c r="AC38" s="4"/>
    </row>
    <row r="39" spans="1:29" ht="18" customHeight="1">
      <c r="A39" s="1"/>
      <c r="B39" s="757" t="s">
        <v>143</v>
      </c>
      <c r="C39" s="665"/>
      <c r="D39" s="666"/>
      <c r="E39" s="50">
        <v>1</v>
      </c>
      <c r="F39" s="1"/>
      <c r="G39" s="155" t="s">
        <v>144</v>
      </c>
      <c r="H39" s="156"/>
      <c r="I39" s="157" t="s">
        <v>33</v>
      </c>
      <c r="J39" s="158">
        <v>0</v>
      </c>
      <c r="K39" s="1"/>
      <c r="L39" s="708"/>
      <c r="M39" s="703"/>
      <c r="N39" s="703"/>
      <c r="O39" s="703"/>
      <c r="P39" s="709"/>
      <c r="Q39" s="1"/>
      <c r="R39" s="737"/>
      <c r="S39" s="738"/>
      <c r="T39" s="738"/>
      <c r="U39" s="738"/>
      <c r="V39" s="739"/>
      <c r="W39" s="4"/>
      <c r="X39" s="731"/>
      <c r="Y39" s="703"/>
      <c r="Z39" s="703"/>
      <c r="AA39" s="703"/>
      <c r="AB39" s="732"/>
      <c r="AC39" s="4"/>
    </row>
    <row r="40" spans="1:29" ht="18" customHeight="1">
      <c r="A40" s="1"/>
      <c r="B40" s="757" t="s">
        <v>145</v>
      </c>
      <c r="C40" s="665"/>
      <c r="D40" s="666"/>
      <c r="E40" s="50">
        <v>1</v>
      </c>
      <c r="F40" s="1"/>
      <c r="G40" s="156" t="s">
        <v>146</v>
      </c>
      <c r="H40" s="156"/>
      <c r="I40" s="743">
        <v>45383</v>
      </c>
      <c r="J40" s="742"/>
      <c r="K40" s="1"/>
      <c r="L40" s="708"/>
      <c r="M40" s="703"/>
      <c r="N40" s="703"/>
      <c r="O40" s="703"/>
      <c r="P40" s="709"/>
      <c r="Q40" s="1"/>
      <c r="R40" s="740" t="s">
        <v>147</v>
      </c>
      <c r="S40" s="707"/>
      <c r="T40" s="707"/>
      <c r="U40" s="707"/>
      <c r="V40" s="690"/>
      <c r="W40" s="4"/>
      <c r="X40" s="731"/>
      <c r="Y40" s="703"/>
      <c r="Z40" s="703"/>
      <c r="AA40" s="703"/>
      <c r="AB40" s="732"/>
      <c r="AC40" s="4"/>
    </row>
    <row r="41" spans="1:29" ht="18" customHeight="1">
      <c r="A41" s="1"/>
      <c r="B41" s="756" t="s">
        <v>148</v>
      </c>
      <c r="C41" s="669"/>
      <c r="D41" s="670"/>
      <c r="E41" s="159"/>
      <c r="F41" s="1"/>
      <c r="G41" s="156" t="s">
        <v>149</v>
      </c>
      <c r="H41" s="156"/>
      <c r="I41" s="743">
        <v>45474</v>
      </c>
      <c r="J41" s="742"/>
      <c r="K41" s="1"/>
      <c r="L41" s="674"/>
      <c r="M41" s="675"/>
      <c r="N41" s="675"/>
      <c r="O41" s="675"/>
      <c r="P41" s="696"/>
      <c r="Q41" s="1"/>
      <c r="R41" s="674"/>
      <c r="S41" s="675"/>
      <c r="T41" s="675"/>
      <c r="U41" s="675"/>
      <c r="V41" s="696"/>
      <c r="W41" s="4"/>
      <c r="X41" s="733"/>
      <c r="Y41" s="734"/>
      <c r="Z41" s="734"/>
      <c r="AA41" s="734"/>
      <c r="AB41" s="735"/>
      <c r="AC41" s="4"/>
    </row>
    <row r="42" spans="1:29" ht="18" customHeight="1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3"/>
      <c r="M42" s="1"/>
      <c r="N42" s="1"/>
      <c r="O42" s="1"/>
      <c r="P42" s="1"/>
      <c r="Q42" s="1"/>
      <c r="R42" s="4"/>
      <c r="S42" s="4"/>
      <c r="T42" s="5"/>
      <c r="U42" s="4"/>
      <c r="V42" s="4"/>
      <c r="W42" s="4"/>
      <c r="X42" s="4"/>
      <c r="Y42" s="5"/>
      <c r="Z42" s="4"/>
      <c r="AA42" s="4"/>
      <c r="AB42" s="6"/>
      <c r="AC42" s="4"/>
    </row>
    <row r="43" spans="1:29" ht="15.75" customHeight="1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3"/>
      <c r="M43" s="1"/>
      <c r="N43" s="1"/>
      <c r="O43" s="1"/>
      <c r="P43" s="1"/>
      <c r="Q43" s="1"/>
      <c r="R43" s="4"/>
      <c r="S43" s="4"/>
      <c r="T43" s="5"/>
      <c r="U43" s="4"/>
      <c r="V43" s="4"/>
      <c r="W43" s="4"/>
      <c r="X43" s="4"/>
      <c r="Y43" s="5"/>
      <c r="Z43" s="4"/>
      <c r="AA43" s="4"/>
      <c r="AB43" s="6"/>
      <c r="AC43" s="4"/>
    </row>
    <row r="44" spans="1:29" ht="15.75" customHeight="1">
      <c r="A44" s="1"/>
      <c r="B44" s="1"/>
      <c r="C44" s="1"/>
      <c r="D44" s="2"/>
      <c r="E44" s="1"/>
      <c r="F44" s="1"/>
      <c r="G44" s="160"/>
      <c r="H44" s="160"/>
      <c r="I44" s="160"/>
      <c r="J44" s="160"/>
      <c r="K44" s="1"/>
      <c r="L44" s="3"/>
      <c r="M44" s="1"/>
      <c r="N44" s="1"/>
      <c r="O44" s="1"/>
      <c r="P44" s="1"/>
      <c r="Q44" s="1"/>
      <c r="R44" s="4"/>
      <c r="S44" s="4"/>
      <c r="T44" s="5"/>
      <c r="U44" s="4"/>
      <c r="V44" s="4"/>
      <c r="W44" s="4"/>
      <c r="X44" s="4"/>
      <c r="Y44" s="5"/>
      <c r="Z44" s="4"/>
      <c r="AA44" s="4"/>
      <c r="AB44" s="6"/>
      <c r="AC44" s="4"/>
    </row>
    <row r="45" spans="1:29" ht="15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3"/>
      <c r="M45" s="1"/>
      <c r="N45" s="1"/>
      <c r="O45" s="1"/>
      <c r="P45" s="1"/>
      <c r="Q45" s="1"/>
      <c r="R45" s="4"/>
      <c r="S45" s="4"/>
      <c r="T45" s="5"/>
      <c r="U45" s="4"/>
      <c r="V45" s="4"/>
      <c r="W45" s="4"/>
      <c r="X45" s="4"/>
      <c r="Y45" s="5"/>
      <c r="Z45" s="4"/>
      <c r="AA45" s="4"/>
      <c r="AB45" s="6"/>
      <c r="AC45" s="4"/>
    </row>
    <row r="46" spans="1:29" ht="15.75" customHeight="1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61"/>
      <c r="S46" s="4"/>
      <c r="T46" s="5"/>
      <c r="U46" s="4"/>
      <c r="V46" s="4"/>
      <c r="W46" s="4"/>
      <c r="X46" s="4"/>
      <c r="Y46" s="5"/>
      <c r="Z46" s="4"/>
      <c r="AA46" s="4"/>
      <c r="AB46" s="6"/>
      <c r="AC46" s="4"/>
    </row>
    <row r="47" spans="1:29" ht="15.75" customHeight="1">
      <c r="A47" s="1"/>
      <c r="B47" s="1"/>
      <c r="C47" s="1"/>
      <c r="D47" s="2"/>
      <c r="E47" s="1"/>
      <c r="F47" s="1"/>
      <c r="G47" s="160"/>
      <c r="H47" s="160"/>
      <c r="I47" s="160"/>
      <c r="J47" s="160"/>
      <c r="K47" s="1"/>
      <c r="L47" s="3"/>
      <c r="M47" s="1"/>
      <c r="N47" s="1"/>
      <c r="O47" s="1"/>
      <c r="P47" s="1"/>
      <c r="Q47" s="1"/>
      <c r="R47" s="4"/>
      <c r="S47" s="4"/>
      <c r="T47" s="5"/>
      <c r="U47" s="4"/>
      <c r="V47" s="4"/>
      <c r="W47" s="4"/>
      <c r="X47" s="4"/>
      <c r="Y47" s="5"/>
      <c r="Z47" s="4"/>
      <c r="AA47" s="4"/>
      <c r="AB47" s="6"/>
      <c r="AC47" s="4"/>
    </row>
    <row r="48" spans="1:29" ht="15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3"/>
      <c r="M48" s="1"/>
      <c r="N48" s="1"/>
      <c r="O48" s="1"/>
      <c r="P48" s="1"/>
      <c r="Q48" s="1"/>
      <c r="R48" s="4"/>
      <c r="S48" s="4"/>
      <c r="T48" s="5"/>
      <c r="U48" s="4"/>
      <c r="V48" s="4"/>
      <c r="W48" s="4"/>
      <c r="X48" s="4"/>
      <c r="Y48" s="5"/>
      <c r="Z48" s="4"/>
      <c r="AA48" s="4"/>
      <c r="AB48" s="6"/>
      <c r="AC48" s="161"/>
    </row>
    <row r="49" spans="1:29" ht="15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3"/>
      <c r="M49" s="1"/>
      <c r="N49" s="1"/>
      <c r="O49" s="1"/>
      <c r="P49" s="1"/>
      <c r="Q49" s="1"/>
      <c r="R49" s="4"/>
      <c r="S49" s="4"/>
      <c r="T49" s="5"/>
      <c r="U49" s="4"/>
      <c r="V49" s="4"/>
      <c r="W49" s="4"/>
      <c r="X49" s="4"/>
      <c r="Y49" s="5"/>
      <c r="Z49" s="4"/>
      <c r="AA49" s="4"/>
      <c r="AB49" s="6"/>
      <c r="AC49" s="4"/>
    </row>
    <row r="50" spans="1:29" ht="15.75" customHeight="1">
      <c r="A50" s="1"/>
      <c r="B50" s="1"/>
      <c r="C50" s="1"/>
      <c r="D50" s="2"/>
      <c r="E50" s="1"/>
      <c r="F50" s="1"/>
      <c r="G50" s="755"/>
      <c r="H50" s="703"/>
      <c r="I50" s="1"/>
      <c r="J50" s="162"/>
      <c r="K50" s="1"/>
      <c r="L50" s="3"/>
      <c r="M50" s="1"/>
      <c r="N50" s="1"/>
      <c r="O50" s="1"/>
      <c r="P50" s="1"/>
      <c r="Q50" s="1"/>
      <c r="R50" s="4"/>
      <c r="S50" s="4"/>
      <c r="T50" s="5"/>
      <c r="U50" s="4"/>
      <c r="V50" s="4"/>
      <c r="W50" s="4"/>
      <c r="X50" s="4"/>
      <c r="Y50" s="5"/>
      <c r="Z50" s="4"/>
      <c r="AA50" s="4"/>
      <c r="AB50" s="6"/>
      <c r="AC50" s="4"/>
    </row>
    <row r="51" spans="1:29" ht="15.75" customHeight="1">
      <c r="A51" s="1"/>
      <c r="B51" s="1"/>
      <c r="C51" s="1"/>
      <c r="D51" s="2"/>
      <c r="E51" s="1"/>
      <c r="F51" s="1"/>
      <c r="G51" s="755"/>
      <c r="H51" s="703"/>
      <c r="I51" s="1"/>
      <c r="J51" s="162"/>
      <c r="K51" s="163"/>
      <c r="L51" s="3"/>
      <c r="M51" s="1"/>
      <c r="N51" s="1"/>
      <c r="O51" s="1"/>
      <c r="P51" s="1"/>
      <c r="Q51" s="1"/>
      <c r="R51" s="4"/>
      <c r="S51" s="4"/>
      <c r="T51" s="5"/>
      <c r="U51" s="4"/>
      <c r="V51" s="4"/>
      <c r="W51" s="4"/>
      <c r="X51" s="4"/>
      <c r="Y51" s="5"/>
      <c r="Z51" s="4"/>
      <c r="AA51" s="4"/>
      <c r="AB51" s="6"/>
      <c r="AC51" s="4"/>
    </row>
    <row r="52" spans="1:29" ht="15.75" customHeight="1">
      <c r="A52" s="1"/>
      <c r="B52" s="1"/>
      <c r="C52" s="1"/>
      <c r="D52" s="2"/>
      <c r="E52" s="1"/>
      <c r="F52" s="1"/>
      <c r="G52" s="1"/>
      <c r="H52" s="164"/>
      <c r="I52" s="164"/>
      <c r="J52" s="164"/>
      <c r="K52" s="163"/>
      <c r="L52" s="3"/>
      <c r="M52" s="1"/>
      <c r="N52" s="1"/>
      <c r="O52" s="1"/>
      <c r="P52" s="1"/>
      <c r="Q52" s="1"/>
      <c r="R52" s="4"/>
      <c r="S52" s="4"/>
      <c r="T52" s="5"/>
      <c r="U52" s="4"/>
      <c r="V52" s="4"/>
      <c r="W52" s="4"/>
      <c r="X52" s="4"/>
      <c r="Y52" s="5"/>
      <c r="Z52" s="4"/>
      <c r="AA52" s="4"/>
      <c r="AB52" s="6"/>
      <c r="AC52" s="4"/>
    </row>
    <row r="53" spans="1:29" ht="15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63"/>
      <c r="L53" s="3"/>
      <c r="M53" s="1"/>
      <c r="N53" s="1"/>
      <c r="O53" s="1"/>
      <c r="P53" s="1"/>
      <c r="Q53" s="1"/>
      <c r="R53" s="4"/>
      <c r="S53" s="4"/>
      <c r="T53" s="5"/>
      <c r="U53" s="4"/>
      <c r="V53" s="4"/>
      <c r="W53" s="4"/>
      <c r="X53" s="4"/>
      <c r="Y53" s="5"/>
      <c r="Z53" s="4"/>
      <c r="AA53" s="4"/>
      <c r="AB53" s="6"/>
      <c r="AC53" s="4"/>
    </row>
    <row r="54" spans="1:29" ht="15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163"/>
      <c r="L54" s="3"/>
      <c r="M54" s="1"/>
      <c r="N54" s="1"/>
      <c r="O54" s="1"/>
      <c r="P54" s="1"/>
      <c r="Q54" s="1"/>
      <c r="R54" s="4"/>
      <c r="S54" s="4"/>
      <c r="T54" s="5"/>
      <c r="U54" s="4"/>
      <c r="V54" s="4"/>
      <c r="W54" s="4"/>
      <c r="X54" s="4"/>
      <c r="Y54" s="5"/>
      <c r="Z54" s="4"/>
      <c r="AA54" s="4"/>
      <c r="AB54" s="6"/>
      <c r="AC54" s="4"/>
    </row>
    <row r="55" spans="1:29" ht="15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63"/>
      <c r="L55" s="3"/>
      <c r="M55" s="1"/>
      <c r="N55" s="1"/>
      <c r="O55" s="1"/>
      <c r="P55" s="1"/>
      <c r="Q55" s="1"/>
      <c r="R55" s="4"/>
      <c r="S55" s="4"/>
      <c r="T55" s="5"/>
      <c r="U55" s="4"/>
      <c r="V55" s="4"/>
      <c r="W55" s="4"/>
      <c r="X55" s="4"/>
      <c r="Y55" s="5"/>
      <c r="Z55" s="4"/>
      <c r="AA55" s="4"/>
      <c r="AB55" s="163"/>
      <c r="AC55" s="4"/>
    </row>
    <row r="56" spans="1:29" ht="15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63"/>
      <c r="L56" s="3"/>
      <c r="M56" s="1"/>
      <c r="N56" s="1"/>
      <c r="O56" s="1"/>
      <c r="P56" s="1"/>
      <c r="Q56" s="1"/>
      <c r="R56" s="4"/>
      <c r="S56" s="4"/>
      <c r="T56" s="5"/>
      <c r="U56" s="4"/>
      <c r="V56" s="4"/>
      <c r="W56" s="4"/>
      <c r="X56" s="4"/>
      <c r="Y56" s="5"/>
      <c r="Z56" s="4"/>
      <c r="AA56" s="4"/>
      <c r="AB56" s="121"/>
      <c r="AC56" s="4"/>
    </row>
    <row r="57" spans="1:29" ht="15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65"/>
      <c r="L57" s="3"/>
      <c r="M57" s="1"/>
      <c r="N57" s="1"/>
      <c r="O57" s="1"/>
      <c r="P57" s="1"/>
      <c r="Q57" s="1"/>
      <c r="R57" s="4"/>
      <c r="S57" s="4"/>
      <c r="T57" s="5"/>
      <c r="U57" s="4"/>
      <c r="V57" s="4"/>
      <c r="W57" s="4"/>
      <c r="X57" s="4"/>
      <c r="Y57" s="5"/>
      <c r="Z57" s="4"/>
      <c r="AA57" s="4"/>
      <c r="AB57" s="121"/>
      <c r="AC57" s="4"/>
    </row>
    <row r="58" spans="1:29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66"/>
      <c r="L58" s="3"/>
      <c r="M58" s="1"/>
      <c r="N58" s="1"/>
      <c r="O58" s="1"/>
      <c r="P58" s="1"/>
      <c r="Q58" s="1"/>
      <c r="R58" s="4"/>
      <c r="S58" s="4"/>
      <c r="T58" s="5"/>
      <c r="U58" s="163"/>
      <c r="V58" s="163"/>
      <c r="W58" s="4"/>
      <c r="X58" s="4"/>
      <c r="Y58" s="5"/>
      <c r="Z58" s="4"/>
      <c r="AA58" s="4"/>
      <c r="AB58" s="6"/>
      <c r="AC58" s="4"/>
    </row>
    <row r="59" spans="1:29" ht="15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66"/>
      <c r="L59" s="3"/>
      <c r="M59" s="1"/>
      <c r="N59" s="1"/>
      <c r="O59" s="1"/>
      <c r="P59" s="1"/>
      <c r="Q59" s="1"/>
      <c r="R59" s="4"/>
      <c r="S59" s="4"/>
      <c r="T59" s="5"/>
      <c r="U59" s="4"/>
      <c r="V59" s="4"/>
      <c r="W59" s="4"/>
      <c r="X59" s="4"/>
      <c r="Y59" s="5"/>
      <c r="Z59" s="4"/>
      <c r="AA59" s="4"/>
      <c r="AB59" s="6"/>
      <c r="AC59" s="4"/>
    </row>
    <row r="60" spans="1:29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63"/>
      <c r="L60" s="3"/>
      <c r="M60" s="1"/>
      <c r="N60" s="1"/>
      <c r="O60" s="1"/>
      <c r="P60" s="1"/>
      <c r="Q60" s="1"/>
      <c r="R60" s="4"/>
      <c r="S60" s="4"/>
      <c r="T60" s="5"/>
      <c r="U60" s="4"/>
      <c r="V60" s="4"/>
      <c r="W60" s="4"/>
      <c r="X60" s="4"/>
      <c r="Y60" s="5"/>
      <c r="Z60" s="4"/>
      <c r="AA60" s="4"/>
      <c r="AB60" s="6"/>
      <c r="AC60" s="4"/>
    </row>
    <row r="61" spans="1:29" ht="15.75" customHeight="1">
      <c r="A61" s="1"/>
      <c r="B61" s="1"/>
      <c r="C61" s="1"/>
      <c r="D61" s="2"/>
      <c r="E61" s="1"/>
      <c r="F61" s="1"/>
      <c r="G61" s="1"/>
      <c r="H61" s="1"/>
      <c r="I61" s="1"/>
      <c r="J61" s="121"/>
      <c r="K61" s="121"/>
      <c r="L61" s="3"/>
      <c r="M61" s="1"/>
      <c r="N61" s="1"/>
      <c r="O61" s="1"/>
      <c r="P61" s="1"/>
      <c r="Q61" s="1"/>
      <c r="R61" s="4"/>
      <c r="S61" s="4"/>
      <c r="T61" s="5"/>
      <c r="U61" s="4"/>
      <c r="V61" s="4"/>
      <c r="W61" s="4"/>
      <c r="X61" s="4"/>
      <c r="Y61" s="5"/>
      <c r="Z61" s="4"/>
      <c r="AA61" s="4"/>
      <c r="AB61" s="6"/>
      <c r="AC61" s="4"/>
    </row>
    <row r="62" spans="1:29" ht="15.75" customHeight="1">
      <c r="A62" s="1"/>
      <c r="B62" s="1"/>
      <c r="C62" s="1"/>
      <c r="D62" s="2"/>
      <c r="E62" s="1"/>
      <c r="F62" s="1"/>
      <c r="G62" s="1"/>
      <c r="H62" s="1"/>
      <c r="I62" s="121"/>
      <c r="J62" s="121"/>
      <c r="K62" s="121"/>
      <c r="L62" s="3"/>
      <c r="M62" s="1"/>
      <c r="N62" s="1"/>
      <c r="O62" s="1"/>
      <c r="P62" s="1"/>
      <c r="Q62" s="1"/>
      <c r="R62" s="4"/>
      <c r="S62" s="4"/>
      <c r="T62" s="5"/>
      <c r="U62" s="4"/>
      <c r="V62" s="4"/>
      <c r="W62" s="4"/>
      <c r="X62" s="702"/>
      <c r="Y62" s="703"/>
      <c r="Z62" s="703"/>
      <c r="AA62" s="703"/>
      <c r="AB62" s="167"/>
      <c r="AC62" s="4"/>
    </row>
    <row r="63" spans="1:29" ht="15.75" customHeight="1">
      <c r="A63" s="1"/>
      <c r="B63" s="1"/>
      <c r="C63" s="1"/>
      <c r="D63" s="2"/>
      <c r="E63" s="1"/>
      <c r="F63" s="1"/>
      <c r="G63" s="1"/>
      <c r="H63" s="1"/>
      <c r="I63" s="121"/>
      <c r="J63" s="121"/>
      <c r="K63" s="121"/>
      <c r="L63" s="121"/>
      <c r="M63" s="121"/>
      <c r="N63" s="121"/>
      <c r="O63" s="121"/>
      <c r="P63" s="1"/>
      <c r="Q63" s="1"/>
      <c r="R63" s="4"/>
      <c r="S63" s="4"/>
      <c r="T63" s="5"/>
      <c r="U63" s="4"/>
      <c r="V63" s="4"/>
      <c r="W63" s="4"/>
      <c r="X63" s="703"/>
      <c r="Y63" s="703"/>
      <c r="Z63" s="703"/>
      <c r="AA63" s="703"/>
      <c r="AB63" s="167"/>
      <c r="AC63" s="4"/>
    </row>
    <row r="64" spans="1:29" ht="15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3"/>
      <c r="M64" s="1"/>
      <c r="N64" s="1"/>
      <c r="O64" s="1"/>
      <c r="P64" s="1"/>
      <c r="Q64" s="1"/>
      <c r="R64" s="4"/>
      <c r="S64" s="4"/>
      <c r="T64" s="5"/>
      <c r="U64" s="4"/>
      <c r="V64" s="4"/>
      <c r="W64" s="4"/>
      <c r="X64" s="4"/>
      <c r="Y64" s="5"/>
      <c r="Z64" s="4"/>
      <c r="AA64" s="4"/>
      <c r="AB64" s="168"/>
      <c r="AC64" s="4"/>
    </row>
    <row r="65" spans="1:29" ht="15.75" customHeight="1">
      <c r="A65" s="1"/>
      <c r="B65" s="1"/>
      <c r="C65" s="1"/>
      <c r="D65" s="2"/>
      <c r="E65" s="1"/>
      <c r="F65" s="1"/>
      <c r="G65" s="1"/>
      <c r="H65" s="4"/>
      <c r="I65" s="1"/>
      <c r="J65" s="1"/>
      <c r="K65" s="1"/>
      <c r="L65" s="3"/>
      <c r="M65" s="1"/>
      <c r="N65" s="1"/>
      <c r="O65" s="1"/>
      <c r="P65" s="1"/>
      <c r="Q65" s="1"/>
      <c r="R65" s="4"/>
      <c r="S65" s="4"/>
      <c r="T65" s="5"/>
      <c r="U65" s="4"/>
      <c r="V65" s="4"/>
      <c r="W65" s="4"/>
      <c r="X65" s="4"/>
      <c r="Y65" s="169"/>
      <c r="Z65" s="4"/>
      <c r="AA65" s="4"/>
      <c r="AB65" s="6"/>
      <c r="AC65" s="4"/>
    </row>
    <row r="66" spans="1:29" ht="15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3"/>
      <c r="M66" s="1"/>
      <c r="N66" s="1"/>
      <c r="O66" s="1"/>
      <c r="P66" s="1"/>
      <c r="Q66" s="1"/>
      <c r="R66" s="4"/>
      <c r="S66" s="4"/>
      <c r="T66" s="5"/>
      <c r="U66" s="4"/>
      <c r="V66" s="4"/>
      <c r="W66" s="4"/>
      <c r="X66" s="4"/>
      <c r="Y66" s="4"/>
      <c r="Z66" s="4"/>
      <c r="AA66" s="4"/>
      <c r="AB66" s="6"/>
      <c r="AC66" s="4"/>
    </row>
    <row r="67" spans="1:29" ht="15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3"/>
      <c r="M67" s="1"/>
      <c r="N67" s="1"/>
      <c r="O67" s="1"/>
      <c r="P67" s="1"/>
      <c r="Q67" s="1"/>
      <c r="R67" s="4"/>
      <c r="S67" s="4"/>
      <c r="T67" s="5"/>
      <c r="U67" s="4"/>
      <c r="V67" s="4"/>
      <c r="W67" s="4"/>
      <c r="X67" s="4"/>
      <c r="Y67" s="4"/>
      <c r="Z67" s="4"/>
      <c r="AA67" s="4"/>
      <c r="AB67" s="6"/>
      <c r="AC67" s="4"/>
    </row>
    <row r="68" spans="1:29" ht="15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3"/>
      <c r="M68" s="1"/>
      <c r="N68" s="1"/>
      <c r="O68" s="1"/>
      <c r="P68" s="1"/>
      <c r="Q68" s="1"/>
      <c r="R68" s="4"/>
      <c r="S68" s="4"/>
      <c r="T68" s="5"/>
      <c r="U68" s="4"/>
      <c r="V68" s="4"/>
      <c r="W68" s="4"/>
      <c r="X68" s="4"/>
      <c r="Y68" s="4"/>
      <c r="Z68" s="4"/>
      <c r="AA68" s="4"/>
      <c r="AB68" s="6"/>
      <c r="AC68" s="4"/>
    </row>
    <row r="69" spans="1:29" ht="15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  <c r="Q69" s="1"/>
      <c r="R69" s="4"/>
      <c r="S69" s="4"/>
      <c r="T69" s="5"/>
      <c r="U69" s="4"/>
      <c r="V69" s="4"/>
      <c r="W69" s="4"/>
      <c r="X69" s="4"/>
      <c r="Y69" s="4"/>
      <c r="Z69" s="4"/>
      <c r="AA69" s="4"/>
      <c r="AB69" s="6"/>
      <c r="AC69" s="4"/>
    </row>
    <row r="70" spans="1:29" ht="15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3"/>
      <c r="M70" s="1"/>
      <c r="N70" s="1"/>
      <c r="O70" s="1"/>
      <c r="P70" s="1"/>
      <c r="Q70" s="1"/>
      <c r="R70" s="4"/>
      <c r="S70" s="4"/>
      <c r="T70" s="5"/>
      <c r="U70" s="4"/>
      <c r="V70" s="4"/>
      <c r="W70" s="4"/>
      <c r="X70" s="4"/>
      <c r="Y70" s="4"/>
      <c r="Z70" s="4"/>
      <c r="AA70" s="4"/>
      <c r="AB70" s="6"/>
      <c r="AC70" s="4"/>
    </row>
    <row r="71" spans="1:29" ht="15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3"/>
      <c r="M71" s="1"/>
      <c r="N71" s="1"/>
      <c r="O71" s="1"/>
      <c r="P71" s="1"/>
      <c r="Q71" s="1"/>
      <c r="R71" s="4"/>
      <c r="S71" s="4"/>
      <c r="T71" s="5"/>
      <c r="U71" s="4"/>
      <c r="V71" s="4"/>
      <c r="W71" s="4"/>
      <c r="X71" s="4"/>
      <c r="Y71" s="4"/>
      <c r="Z71" s="4"/>
      <c r="AA71" s="4"/>
      <c r="AB71" s="6"/>
      <c r="AC71" s="4"/>
    </row>
    <row r="72" spans="1:29" ht="15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3"/>
      <c r="M72" s="1"/>
      <c r="N72" s="1"/>
      <c r="O72" s="1"/>
      <c r="P72" s="1"/>
      <c r="Q72" s="1"/>
      <c r="R72" s="4"/>
      <c r="S72" s="4"/>
      <c r="T72" s="5"/>
      <c r="U72" s="4"/>
      <c r="V72" s="4"/>
      <c r="W72" s="4"/>
      <c r="X72" s="4"/>
      <c r="Y72" s="170"/>
      <c r="Z72" s="4"/>
      <c r="AA72" s="4"/>
      <c r="AB72" s="6"/>
      <c r="AC72" s="4"/>
    </row>
    <row r="73" spans="1:29" ht="15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3"/>
      <c r="M73" s="1"/>
      <c r="N73" s="1"/>
      <c r="O73" s="1"/>
      <c r="P73" s="1"/>
      <c r="Q73" s="1"/>
      <c r="R73" s="4"/>
      <c r="S73" s="4"/>
      <c r="T73" s="5"/>
      <c r="U73" s="4"/>
      <c r="V73" s="4"/>
      <c r="W73" s="4"/>
      <c r="X73" s="4"/>
      <c r="Y73" s="170"/>
      <c r="Z73" s="4"/>
      <c r="AA73" s="4"/>
      <c r="AB73" s="6"/>
      <c r="AC73" s="4"/>
    </row>
    <row r="74" spans="1:29" ht="15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3"/>
      <c r="M74" s="1"/>
      <c r="N74" s="1"/>
      <c r="O74" s="1"/>
      <c r="P74" s="1"/>
      <c r="Q74" s="1"/>
      <c r="R74" s="4"/>
      <c r="S74" s="4"/>
      <c r="T74" s="5"/>
      <c r="U74" s="4"/>
      <c r="V74" s="4"/>
      <c r="W74" s="4"/>
      <c r="X74" s="4"/>
      <c r="Y74" s="170"/>
      <c r="Z74" s="4"/>
      <c r="AA74" s="4"/>
      <c r="AB74" s="6"/>
      <c r="AC74" s="4"/>
    </row>
    <row r="75" spans="1:29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3"/>
      <c r="M75" s="1"/>
      <c r="N75" s="1"/>
      <c r="O75" s="1"/>
      <c r="P75" s="1"/>
      <c r="Q75" s="1"/>
      <c r="R75" s="4"/>
      <c r="S75" s="4"/>
      <c r="T75" s="5"/>
      <c r="U75" s="4"/>
      <c r="V75" s="4"/>
      <c r="W75" s="4"/>
      <c r="X75" s="4"/>
      <c r="Y75" s="5"/>
      <c r="Z75" s="4"/>
      <c r="AA75" s="4"/>
      <c r="AB75" s="6"/>
      <c r="AC75" s="4"/>
    </row>
    <row r="76" spans="1:29" ht="15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3"/>
      <c r="M76" s="1"/>
      <c r="N76" s="1"/>
      <c r="O76" s="1"/>
      <c r="P76" s="1"/>
      <c r="Q76" s="1"/>
      <c r="R76" s="4"/>
      <c r="S76" s="4"/>
      <c r="T76" s="5"/>
      <c r="U76" s="4"/>
      <c r="V76" s="4"/>
      <c r="W76" s="4"/>
      <c r="X76" s="4"/>
      <c r="Y76" s="5"/>
      <c r="Z76" s="4"/>
      <c r="AA76" s="4"/>
      <c r="AB76" s="6"/>
      <c r="AC76" s="4"/>
    </row>
    <row r="77" spans="1:29" ht="15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3"/>
      <c r="M77" s="1"/>
      <c r="N77" s="1"/>
      <c r="O77" s="1"/>
      <c r="P77" s="1"/>
      <c r="Q77" s="1"/>
      <c r="R77" s="4"/>
      <c r="S77" s="4"/>
      <c r="T77" s="5"/>
      <c r="U77" s="4"/>
      <c r="V77" s="4"/>
      <c r="W77" s="4"/>
      <c r="X77" s="4"/>
      <c r="Y77" s="5"/>
      <c r="Z77" s="4"/>
      <c r="AA77" s="4"/>
      <c r="AB77" s="6"/>
      <c r="AC77" s="4"/>
    </row>
    <row r="78" spans="1:29" ht="15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3"/>
      <c r="M78" s="1"/>
      <c r="N78" s="1"/>
      <c r="O78" s="1"/>
      <c r="P78" s="1"/>
      <c r="Q78" s="1"/>
      <c r="R78" s="4"/>
      <c r="S78" s="4"/>
      <c r="T78" s="5"/>
      <c r="U78" s="4"/>
      <c r="V78" s="4"/>
      <c r="W78" s="4"/>
      <c r="X78" s="4"/>
      <c r="Y78" s="5"/>
      <c r="Z78" s="4"/>
      <c r="AA78" s="4"/>
      <c r="AB78" s="6"/>
      <c r="AC78" s="4"/>
    </row>
    <row r="79" spans="1:29" ht="15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3"/>
      <c r="M79" s="1"/>
      <c r="N79" s="1"/>
      <c r="O79" s="1"/>
      <c r="P79" s="1"/>
      <c r="Q79" s="1"/>
      <c r="R79" s="4"/>
      <c r="S79" s="4"/>
      <c r="T79" s="5"/>
      <c r="U79" s="4"/>
      <c r="V79" s="4"/>
      <c r="W79" s="4"/>
      <c r="X79" s="4"/>
      <c r="Y79" s="5"/>
      <c r="Z79" s="4"/>
      <c r="AA79" s="4"/>
      <c r="AB79" s="6"/>
      <c r="AC79" s="4"/>
    </row>
    <row r="80" spans="1:29" ht="15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3"/>
      <c r="M80" s="1"/>
      <c r="N80" s="1"/>
      <c r="O80" s="1"/>
      <c r="P80" s="1"/>
      <c r="Q80" s="1"/>
      <c r="R80" s="4"/>
      <c r="S80" s="4"/>
      <c r="T80" s="5"/>
      <c r="U80" s="4"/>
      <c r="V80" s="4"/>
      <c r="W80" s="4"/>
      <c r="X80" s="4"/>
      <c r="Y80" s="5"/>
      <c r="Z80" s="4"/>
      <c r="AA80" s="4"/>
      <c r="AB80" s="6"/>
      <c r="AC80" s="4"/>
    </row>
    <row r="81" spans="1:29" ht="15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3"/>
      <c r="M81" s="1"/>
      <c r="N81" s="1"/>
      <c r="O81" s="1"/>
      <c r="P81" s="1"/>
      <c r="Q81" s="1"/>
      <c r="R81" s="4"/>
      <c r="S81" s="4"/>
      <c r="T81" s="5"/>
      <c r="U81" s="4"/>
      <c r="V81" s="4"/>
      <c r="W81" s="4"/>
      <c r="X81" s="4"/>
      <c r="Y81" s="5"/>
      <c r="Z81" s="4"/>
      <c r="AA81" s="4"/>
      <c r="AB81" s="6"/>
      <c r="AC81" s="4"/>
    </row>
    <row r="82" spans="1:29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3"/>
      <c r="M82" s="1"/>
      <c r="N82" s="1"/>
      <c r="O82" s="1"/>
      <c r="P82" s="1"/>
      <c r="Q82" s="1"/>
      <c r="R82" s="4"/>
      <c r="S82" s="4"/>
      <c r="T82" s="5"/>
      <c r="U82" s="4"/>
      <c r="V82" s="4"/>
      <c r="W82" s="4"/>
      <c r="X82" s="4"/>
      <c r="Y82" s="5"/>
      <c r="Z82" s="4"/>
      <c r="AA82" s="4"/>
      <c r="AB82" s="6"/>
      <c r="AC82" s="4"/>
    </row>
    <row r="83" spans="1:29" ht="15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3"/>
      <c r="M83" s="1"/>
      <c r="N83" s="1"/>
      <c r="O83" s="1"/>
      <c r="P83" s="1"/>
      <c r="Q83" s="1"/>
      <c r="R83" s="4"/>
      <c r="S83" s="4"/>
      <c r="T83" s="5"/>
      <c r="U83" s="4"/>
      <c r="V83" s="4"/>
      <c r="W83" s="4"/>
      <c r="X83" s="4"/>
      <c r="Y83" s="5"/>
      <c r="Z83" s="4"/>
      <c r="AA83" s="4"/>
      <c r="AB83" s="6"/>
      <c r="AC83" s="4"/>
    </row>
    <row r="84" spans="1:29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3"/>
      <c r="M84" s="1"/>
      <c r="N84" s="1"/>
      <c r="O84" s="1"/>
      <c r="P84" s="1"/>
      <c r="Q84" s="1"/>
      <c r="R84" s="4"/>
      <c r="S84" s="4"/>
      <c r="T84" s="5"/>
      <c r="U84" s="4"/>
      <c r="V84" s="4"/>
      <c r="W84" s="4"/>
      <c r="X84" s="4"/>
      <c r="Y84" s="5"/>
      <c r="Z84" s="4"/>
      <c r="AA84" s="4"/>
      <c r="AB84" s="6"/>
      <c r="AC84" s="4"/>
    </row>
    <row r="85" spans="1:29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3"/>
      <c r="M85" s="1"/>
      <c r="N85" s="1"/>
      <c r="O85" s="1"/>
      <c r="P85" s="1"/>
      <c r="Q85" s="1"/>
      <c r="R85" s="4"/>
      <c r="S85" s="4"/>
      <c r="T85" s="5"/>
      <c r="U85" s="4"/>
      <c r="V85" s="4"/>
      <c r="W85" s="4"/>
      <c r="X85" s="4"/>
      <c r="Y85" s="5"/>
      <c r="Z85" s="4"/>
      <c r="AA85" s="4"/>
      <c r="AB85" s="6"/>
      <c r="AC85" s="4"/>
    </row>
    <row r="86" spans="1:29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3"/>
      <c r="M86" s="1"/>
      <c r="N86" s="1"/>
      <c r="O86" s="1"/>
      <c r="P86" s="1"/>
      <c r="Q86" s="1"/>
      <c r="R86" s="4"/>
      <c r="S86" s="4"/>
      <c r="T86" s="5"/>
      <c r="U86" s="4"/>
      <c r="V86" s="4"/>
      <c r="W86" s="4"/>
      <c r="X86" s="4"/>
      <c r="Y86" s="5"/>
      <c r="Z86" s="4"/>
      <c r="AA86" s="4"/>
      <c r="AB86" s="6"/>
      <c r="AC86" s="4"/>
    </row>
    <row r="87" spans="1:29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3"/>
      <c r="M87" s="1"/>
      <c r="N87" s="1"/>
      <c r="O87" s="1"/>
      <c r="P87" s="1"/>
      <c r="Q87" s="1"/>
      <c r="R87" s="4"/>
      <c r="S87" s="4"/>
      <c r="T87" s="5"/>
      <c r="U87" s="4"/>
      <c r="V87" s="4"/>
      <c r="W87" s="4"/>
      <c r="X87" s="4"/>
      <c r="Y87" s="5"/>
      <c r="Z87" s="4"/>
      <c r="AA87" s="4"/>
      <c r="AB87" s="6"/>
      <c r="AC87" s="4"/>
    </row>
    <row r="88" spans="1:29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3"/>
      <c r="M88" s="1"/>
      <c r="N88" s="1"/>
      <c r="O88" s="1"/>
      <c r="P88" s="1"/>
      <c r="Q88" s="1"/>
      <c r="R88" s="4"/>
      <c r="S88" s="4"/>
      <c r="T88" s="5"/>
      <c r="U88" s="4"/>
      <c r="V88" s="4"/>
      <c r="W88" s="4"/>
      <c r="X88" s="4"/>
      <c r="Y88" s="5"/>
      <c r="Z88" s="4"/>
      <c r="AA88" s="4"/>
      <c r="AB88" s="6"/>
      <c r="AC88" s="4"/>
    </row>
    <row r="89" spans="1:29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3"/>
      <c r="M89" s="1"/>
      <c r="N89" s="1"/>
      <c r="O89" s="1"/>
      <c r="P89" s="1"/>
      <c r="Q89" s="1"/>
      <c r="R89" s="4"/>
      <c r="S89" s="4"/>
      <c r="T89" s="5"/>
      <c r="U89" s="4"/>
      <c r="V89" s="4"/>
      <c r="W89" s="4"/>
      <c r="X89" s="4"/>
      <c r="Y89" s="5"/>
      <c r="Z89" s="4"/>
      <c r="AA89" s="4"/>
      <c r="AB89" s="6"/>
      <c r="AC89" s="4"/>
    </row>
    <row r="90" spans="1:29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3"/>
      <c r="M90" s="1"/>
      <c r="N90" s="1"/>
      <c r="O90" s="1"/>
      <c r="P90" s="1"/>
      <c r="Q90" s="1"/>
      <c r="R90" s="4"/>
      <c r="S90" s="4"/>
      <c r="T90" s="5"/>
      <c r="U90" s="4"/>
      <c r="V90" s="4"/>
      <c r="W90" s="4"/>
      <c r="X90" s="4"/>
      <c r="Y90" s="5"/>
      <c r="Z90" s="4"/>
      <c r="AA90" s="4"/>
      <c r="AB90" s="6"/>
      <c r="AC90" s="4"/>
    </row>
    <row r="91" spans="1:29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3"/>
      <c r="M91" s="1"/>
      <c r="N91" s="1"/>
      <c r="O91" s="1"/>
      <c r="P91" s="1"/>
      <c r="Q91" s="1"/>
      <c r="R91" s="4"/>
      <c r="S91" s="4"/>
      <c r="T91" s="5"/>
      <c r="U91" s="4"/>
      <c r="V91" s="4"/>
      <c r="W91" s="4"/>
      <c r="X91" s="4"/>
      <c r="Y91" s="5"/>
      <c r="Z91" s="4"/>
      <c r="AA91" s="4"/>
      <c r="AB91" s="6"/>
      <c r="AC91" s="4"/>
    </row>
    <row r="92" spans="1:29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3"/>
      <c r="M92" s="1"/>
      <c r="N92" s="1"/>
      <c r="O92" s="1"/>
      <c r="P92" s="1"/>
      <c r="Q92" s="1"/>
      <c r="R92" s="4"/>
      <c r="S92" s="4"/>
      <c r="T92" s="5"/>
      <c r="U92" s="4"/>
      <c r="V92" s="4"/>
      <c r="W92" s="4"/>
      <c r="X92" s="4"/>
      <c r="Y92" s="5"/>
      <c r="Z92" s="4"/>
      <c r="AA92" s="4"/>
      <c r="AB92" s="6"/>
      <c r="AC92" s="4"/>
    </row>
    <row r="93" spans="1:29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3"/>
      <c r="M93" s="1"/>
      <c r="N93" s="1"/>
      <c r="O93" s="1"/>
      <c r="P93" s="1"/>
      <c r="Q93" s="1"/>
      <c r="R93" s="4"/>
      <c r="S93" s="4"/>
      <c r="T93" s="5"/>
      <c r="U93" s="4"/>
      <c r="V93" s="4"/>
      <c r="W93" s="4"/>
      <c r="X93" s="4"/>
      <c r="Y93" s="5"/>
      <c r="Z93" s="4"/>
      <c r="AA93" s="4"/>
      <c r="AB93" s="6"/>
      <c r="AC93" s="4"/>
    </row>
    <row r="94" spans="1:29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3"/>
      <c r="M94" s="1"/>
      <c r="N94" s="1"/>
      <c r="O94" s="1"/>
      <c r="P94" s="1"/>
      <c r="Q94" s="1"/>
      <c r="R94" s="4"/>
      <c r="S94" s="4"/>
      <c r="T94" s="5"/>
      <c r="U94" s="4"/>
      <c r="V94" s="4"/>
      <c r="W94" s="4"/>
      <c r="X94" s="4"/>
      <c r="Y94" s="5"/>
      <c r="Z94" s="4"/>
      <c r="AA94" s="4"/>
      <c r="AB94" s="6"/>
      <c r="AC94" s="4"/>
    </row>
    <row r="95" spans="1:29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3"/>
      <c r="M95" s="1"/>
      <c r="N95" s="1"/>
      <c r="O95" s="1"/>
      <c r="P95" s="1"/>
      <c r="Q95" s="1"/>
      <c r="R95" s="4"/>
      <c r="S95" s="4"/>
      <c r="T95" s="5"/>
      <c r="U95" s="4"/>
      <c r="V95" s="4"/>
      <c r="W95" s="4"/>
      <c r="X95" s="4"/>
      <c r="Y95" s="5"/>
      <c r="Z95" s="4"/>
      <c r="AA95" s="4"/>
      <c r="AB95" s="6"/>
      <c r="AC95" s="4"/>
    </row>
    <row r="96" spans="1:29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3"/>
      <c r="M96" s="1"/>
      <c r="N96" s="1"/>
      <c r="O96" s="1"/>
      <c r="P96" s="1"/>
      <c r="Q96" s="1"/>
      <c r="R96" s="4"/>
      <c r="S96" s="4"/>
      <c r="T96" s="5"/>
      <c r="U96" s="4"/>
      <c r="V96" s="4"/>
      <c r="W96" s="4"/>
      <c r="X96" s="4"/>
      <c r="Y96" s="5"/>
      <c r="Z96" s="4"/>
      <c r="AA96" s="4"/>
      <c r="AB96" s="6"/>
      <c r="AC96" s="4"/>
    </row>
    <row r="97" spans="1:29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3"/>
      <c r="M97" s="1"/>
      <c r="N97" s="1"/>
      <c r="O97" s="1"/>
      <c r="P97" s="1"/>
      <c r="Q97" s="1"/>
      <c r="R97" s="4"/>
      <c r="S97" s="4"/>
      <c r="T97" s="5"/>
      <c r="U97" s="4"/>
      <c r="V97" s="4"/>
      <c r="W97" s="4"/>
      <c r="X97" s="4"/>
      <c r="Y97" s="5"/>
      <c r="Z97" s="4"/>
      <c r="AA97" s="4"/>
      <c r="AB97" s="6"/>
      <c r="AC97" s="4"/>
    </row>
    <row r="98" spans="1:29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3"/>
      <c r="M98" s="1"/>
      <c r="N98" s="1"/>
      <c r="O98" s="1"/>
      <c r="P98" s="1"/>
      <c r="Q98" s="1"/>
      <c r="R98" s="4"/>
      <c r="S98" s="4"/>
      <c r="T98" s="5"/>
      <c r="U98" s="4"/>
      <c r="V98" s="4"/>
      <c r="W98" s="4"/>
      <c r="X98" s="4"/>
      <c r="Y98" s="5"/>
      <c r="Z98" s="4"/>
      <c r="AA98" s="4"/>
      <c r="AB98" s="6"/>
      <c r="AC98" s="4"/>
    </row>
    <row r="99" spans="1:29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3"/>
      <c r="M99" s="1"/>
      <c r="N99" s="1"/>
      <c r="O99" s="1"/>
      <c r="P99" s="1"/>
      <c r="Q99" s="1"/>
      <c r="R99" s="4"/>
      <c r="S99" s="4"/>
      <c r="T99" s="5"/>
      <c r="U99" s="4"/>
      <c r="V99" s="4"/>
      <c r="W99" s="4"/>
      <c r="X99" s="4"/>
      <c r="Y99" s="5"/>
      <c r="Z99" s="4"/>
      <c r="AA99" s="4"/>
      <c r="AB99" s="6"/>
      <c r="AC99" s="4"/>
    </row>
    <row r="100" spans="1:29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4"/>
      <c r="S100" s="4"/>
      <c r="T100" s="5"/>
      <c r="U100" s="4"/>
      <c r="V100" s="4"/>
      <c r="W100" s="4"/>
      <c r="X100" s="4"/>
      <c r="Y100" s="5"/>
      <c r="Z100" s="4"/>
      <c r="AA100" s="4"/>
      <c r="AB100" s="6"/>
      <c r="AC100" s="4"/>
    </row>
  </sheetData>
  <mergeCells count="104">
    <mergeCell ref="Y25:AB25"/>
    <mergeCell ref="Y26:AB26"/>
    <mergeCell ref="Y28:AB28"/>
    <mergeCell ref="Y29:AB29"/>
    <mergeCell ref="T25:V25"/>
    <mergeCell ref="T26:V26"/>
    <mergeCell ref="R29:S29"/>
    <mergeCell ref="G28:I28"/>
    <mergeCell ref="G29:I29"/>
    <mergeCell ref="G25:I25"/>
    <mergeCell ref="G26:I26"/>
    <mergeCell ref="Y27:AB27"/>
    <mergeCell ref="T27:V27"/>
    <mergeCell ref="M27:P27"/>
    <mergeCell ref="M26:P26"/>
    <mergeCell ref="R27:S27"/>
    <mergeCell ref="R26:S26"/>
    <mergeCell ref="X21:AB21"/>
    <mergeCell ref="L21:P21"/>
    <mergeCell ref="C23:C24"/>
    <mergeCell ref="D23:D24"/>
    <mergeCell ref="G17:H17"/>
    <mergeCell ref="G19:H19"/>
    <mergeCell ref="G18:H18"/>
    <mergeCell ref="R21:V21"/>
    <mergeCell ref="B21:E21"/>
    <mergeCell ref="X23:AB24"/>
    <mergeCell ref="R23:V24"/>
    <mergeCell ref="L23:P24"/>
    <mergeCell ref="B15:E15"/>
    <mergeCell ref="B16:E16"/>
    <mergeCell ref="B23:B24"/>
    <mergeCell ref="G23:J24"/>
    <mergeCell ref="E23:E24"/>
    <mergeCell ref="J18:J19"/>
    <mergeCell ref="G51:H51"/>
    <mergeCell ref="G50:H50"/>
    <mergeCell ref="B41:D41"/>
    <mergeCell ref="B39:D39"/>
    <mergeCell ref="B40:D40"/>
    <mergeCell ref="G21:I21"/>
    <mergeCell ref="G27:I27"/>
    <mergeCell ref="X36:AB41"/>
    <mergeCell ref="R36:V39"/>
    <mergeCell ref="R40:V41"/>
    <mergeCell ref="I36:J36"/>
    <mergeCell ref="I37:J37"/>
    <mergeCell ref="I41:J41"/>
    <mergeCell ref="I40:J40"/>
    <mergeCell ref="T30:V30"/>
    <mergeCell ref="Y30:AB30"/>
    <mergeCell ref="M30:P30"/>
    <mergeCell ref="M32:P32"/>
    <mergeCell ref="R33:V34"/>
    <mergeCell ref="R32:S32"/>
    <mergeCell ref="R31:S31"/>
    <mergeCell ref="R30:S30"/>
    <mergeCell ref="T32:V32"/>
    <mergeCell ref="G32:I32"/>
    <mergeCell ref="X62:AA63"/>
    <mergeCell ref="M29:P29"/>
    <mergeCell ref="T31:V31"/>
    <mergeCell ref="X32:AB34"/>
    <mergeCell ref="G30:I30"/>
    <mergeCell ref="G31:I31"/>
    <mergeCell ref="Y31:AB31"/>
    <mergeCell ref="M34:P34"/>
    <mergeCell ref="G5:I5"/>
    <mergeCell ref="G6:I6"/>
    <mergeCell ref="T29:V29"/>
    <mergeCell ref="T28:V28"/>
    <mergeCell ref="M28:P28"/>
    <mergeCell ref="R28:S28"/>
    <mergeCell ref="M31:P31"/>
    <mergeCell ref="L36:P41"/>
    <mergeCell ref="M33:P33"/>
    <mergeCell ref="O16:P16"/>
    <mergeCell ref="O18:P18"/>
    <mergeCell ref="O17:P17"/>
    <mergeCell ref="O19:P19"/>
    <mergeCell ref="J14:J15"/>
    <mergeCell ref="M25:P25"/>
    <mergeCell ref="R25:S25"/>
    <mergeCell ref="B7:E7"/>
    <mergeCell ref="D8:E8"/>
    <mergeCell ref="X2:AA2"/>
    <mergeCell ref="S2:V2"/>
    <mergeCell ref="B2:E2"/>
    <mergeCell ref="D3:E4"/>
    <mergeCell ref="D5:E6"/>
    <mergeCell ref="B3:C4"/>
    <mergeCell ref="B5:C6"/>
    <mergeCell ref="G4:I4"/>
    <mergeCell ref="G3:I3"/>
    <mergeCell ref="G11:I11"/>
    <mergeCell ref="G12:I12"/>
    <mergeCell ref="G33:I33"/>
    <mergeCell ref="G34:I34"/>
    <mergeCell ref="G14:I15"/>
    <mergeCell ref="G10:I10"/>
    <mergeCell ref="G8:I8"/>
    <mergeCell ref="G7:I7"/>
    <mergeCell ref="G9:I9"/>
    <mergeCell ref="G13:I13"/>
  </mergeCells>
  <conditionalFormatting sqref="G51:H51">
    <cfRule type="expression" dxfId="25" priority="1">
      <formula>$O$38&lt;$O$40</formula>
    </cfRule>
  </conditionalFormatting>
  <conditionalFormatting sqref="G50:H50 I17 J50">
    <cfRule type="expression" dxfId="24" priority="2">
      <formula>$O$38&gt;$O$40</formula>
    </cfRule>
  </conditionalFormatting>
  <conditionalFormatting sqref="L16:P19 L21:P21">
    <cfRule type="expression" dxfId="23" priority="3">
      <formula>$O$38&gt;$O$40</formula>
    </cfRule>
  </conditionalFormatting>
  <conditionalFormatting sqref="L17:P17">
    <cfRule type="expression" dxfId="22" priority="4">
      <formula>$O$17&gt;0</formula>
    </cfRule>
  </conditionalFormatting>
  <conditionalFormatting sqref="L19:P19">
    <cfRule type="expression" dxfId="21" priority="5">
      <formula>$O$19&gt;0</formula>
    </cfRule>
  </conditionalFormatting>
  <dataValidations count="20">
    <dataValidation type="list" allowBlank="1" sqref="G10:G12">
      <formula1>OTHER_SAVINGS_LIST</formula1>
    </dataValidation>
    <dataValidation type="list" allowBlank="1" showErrorMessage="1" sqref="D5">
      <formula1>"GPF,CPS"</formula1>
    </dataValidation>
    <dataValidation type="list" allowBlank="1" showErrorMessage="1" sqref="G30">
      <formula1>"Deduction for DISABLED (SELF) u/s 80U,Deduction for DISABLED (Dependent) u/s 80DD"</formula1>
    </dataValidation>
    <dataValidation type="list" allowBlank="1" showErrorMessage="1" sqref="D10">
      <formula1>EL_MONTHS_03</formula1>
    </dataValidation>
    <dataValidation type="list" allowBlank="1" showErrorMessage="1" sqref="G32:G33">
      <formula1>LOANS</formula1>
    </dataValidation>
    <dataValidation type="list" allowBlank="1" showInputMessage="1" showErrorMessage="1" prompt="PERUMAL Says.... - SELECT Correct H.R.A. %" sqref="E37">
      <formula1>"00.00%,08.00%,10.00%,12.00%,16.00%,24.00%"</formula1>
    </dataValidation>
    <dataValidation type="list" allowBlank="1" showInputMessage="1" showErrorMessage="1" prompt="SELECT YOUR OPTION - &#10;OLD REGIME&#10;NEW REGIME&#10;AUTO COMPUTATION" sqref="I19">
      <formula1>"OLD,NEW,AUTO"</formula1>
    </dataValidation>
    <dataValidation type="list" allowBlank="1" showErrorMessage="1" sqref="E9 E39:E40">
      <formula1>DATES</formula1>
    </dataValidation>
    <dataValidation type="list" allowBlank="1" showErrorMessage="1" sqref="D25:D35 D37:D38 I40:I41">
      <formula1>DA_HRA_Months</formula1>
    </dataValidation>
    <dataValidation type="list" allowBlank="1" showErrorMessage="1" sqref="D3">
      <formula1>BP_2021</formula1>
    </dataValidation>
    <dataValidation type="list" allowBlank="1" showErrorMessage="1" sqref="E10 J38:J39">
      <formula1>"00,15,30"</formula1>
    </dataValidation>
    <dataValidation type="list" allowBlank="1" showErrorMessage="1" sqref="J14 J21">
      <formula1>"YES,NO"</formula1>
    </dataValidation>
    <dataValidation type="list" allowBlank="1" showInputMessage="1" showErrorMessage="1" prompt="PERUMAL Says.... - SELECT Correct H.R.A. %" sqref="C37">
      <formula1>"00.00%,10.00%,12.00%,16.00%,24.00%"</formula1>
    </dataValidation>
    <dataValidation type="list" allowBlank="1" showErrorMessage="1" sqref="G28 K54">
      <formula1>"INCOME FROM CAPITAL GAINS,INCOME FROM FAMILY PENSION"</formula1>
    </dataValidation>
    <dataValidation type="list" allowBlank="1" showErrorMessage="1" sqref="L25 R25 X25">
      <formula1>"Sri.,Smt.,Kum.,Dr.,Mr.,Ms.,Mrs."</formula1>
    </dataValidation>
    <dataValidation type="list" allowBlank="1" showErrorMessage="1" sqref="I38">
      <formula1>EL_MONTHS_01</formula1>
    </dataValidation>
    <dataValidation type="list" allowBlank="1" showErrorMessage="1" sqref="D8">
      <formula1>Months_20</formula1>
    </dataValidation>
    <dataValidation type="list" allowBlank="1" showErrorMessage="1" sqref="I39">
      <formula1>EL_MONTHS_02</formula1>
    </dataValidation>
    <dataValidation type="decimal" allowBlank="1" showInputMessage="1" showErrorMessage="1" prompt="PERUMAL Says... - The Max. No.of&#10;Months = 12" sqref="E13">
      <formula1>0</formula1>
      <formula2>12</formula2>
    </dataValidation>
    <dataValidation type="list" allowBlank="1" showErrorMessage="1" sqref="D9">
      <formula1>AAS</formula1>
    </dataValidation>
  </dataValidations>
  <printOptions horizontalCentered="1"/>
  <pageMargins left="0.19685039370078741" right="0.19685039370078741" top="0.59055118110236227" bottom="0.59055118110236227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0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/>
  <cols>
    <col min="1" max="1" width="1.28515625" customWidth="1"/>
    <col min="2" max="2" width="10.7109375" customWidth="1"/>
    <col min="3" max="3" width="7.7109375" customWidth="1"/>
    <col min="4" max="5" width="6.7109375" customWidth="1"/>
    <col min="6" max="6" width="6.7109375" hidden="1" customWidth="1"/>
    <col min="7" max="7" width="4.28515625" customWidth="1"/>
    <col min="8" max="9" width="5.42578125" customWidth="1"/>
    <col min="10" max="10" width="5.28515625" customWidth="1"/>
    <col min="11" max="14" width="4.42578125" customWidth="1"/>
    <col min="15" max="15" width="6.7109375" customWidth="1"/>
    <col min="16" max="16" width="9.7109375" customWidth="1"/>
    <col min="17" max="17" width="6.85546875" customWidth="1"/>
    <col min="18" max="18" width="6.7109375" customWidth="1"/>
    <col min="19" max="19" width="4.42578125" customWidth="1"/>
    <col min="20" max="21" width="4.28515625" customWidth="1"/>
    <col min="22" max="22" width="5.7109375" customWidth="1"/>
    <col min="23" max="23" width="6" customWidth="1"/>
    <col min="24" max="24" width="6.140625" customWidth="1"/>
    <col min="25" max="27" width="7.7109375" customWidth="1"/>
    <col min="28" max="28" width="6.28515625" customWidth="1"/>
    <col min="29" max="29" width="7" customWidth="1"/>
    <col min="30" max="30" width="10.5703125" customWidth="1"/>
    <col min="31" max="31" width="7.7109375" customWidth="1"/>
    <col min="32" max="32" width="7.85546875" customWidth="1"/>
  </cols>
  <sheetData>
    <row r="1" spans="1:32" ht="4.5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64"/>
      <c r="AF1" s="171"/>
    </row>
    <row r="2" spans="1:32" ht="22.5" customHeight="1">
      <c r="A2" s="171"/>
      <c r="B2" s="172" t="str">
        <f>IF(DATA!J17="","OLD",IF(DATA!I19="AUTO",DATA!J17,DATA!I19))</f>
        <v>NEW</v>
      </c>
      <c r="C2" s="173" t="str">
        <f>DATA!L25&amp;UPPER(DATA!M25)</f>
        <v>Sri.  PERUMALLA RAMANJANEYULU</v>
      </c>
      <c r="D2" s="174"/>
      <c r="E2" s="174"/>
      <c r="F2" s="174"/>
      <c r="G2" s="174"/>
      <c r="H2" s="174"/>
      <c r="I2" s="174"/>
      <c r="J2" s="797" t="s">
        <v>150</v>
      </c>
      <c r="K2" s="784"/>
      <c r="L2" s="785"/>
      <c r="M2" s="783" t="str">
        <f>UPPER(DATA!M29)</f>
        <v>M.P.P.SCHOOL</v>
      </c>
      <c r="N2" s="784"/>
      <c r="O2" s="784"/>
      <c r="P2" s="784"/>
      <c r="Q2" s="785"/>
      <c r="R2" s="175" t="s">
        <v>151</v>
      </c>
      <c r="S2" s="783" t="str">
        <f>UPPER(DATA!M31)</f>
        <v>BETHAMCHERLA</v>
      </c>
      <c r="T2" s="784"/>
      <c r="U2" s="784"/>
      <c r="V2" s="784"/>
      <c r="W2" s="784"/>
      <c r="X2" s="785"/>
      <c r="Y2" s="786" t="s">
        <v>152</v>
      </c>
      <c r="Z2" s="785"/>
      <c r="AA2" s="792" t="str">
        <f>TEXT(DATA!M27,"0000000")</f>
        <v>0123456</v>
      </c>
      <c r="AB2" s="784"/>
      <c r="AC2" s="793"/>
      <c r="AD2" s="171"/>
      <c r="AE2" s="164"/>
      <c r="AF2" s="171"/>
    </row>
    <row r="3" spans="1:32" ht="22.5" customHeight="1">
      <c r="A3" s="171"/>
      <c r="B3" s="176" t="s">
        <v>153</v>
      </c>
      <c r="C3" s="177" t="str">
        <f>UPPER(DATA!M26)</f>
        <v>SECONDARY GRADE TEACHER</v>
      </c>
      <c r="D3" s="178"/>
      <c r="E3" s="178"/>
      <c r="F3" s="178"/>
      <c r="G3" s="178"/>
      <c r="H3" s="178"/>
      <c r="I3" s="178"/>
      <c r="J3" s="798" t="s">
        <v>154</v>
      </c>
      <c r="K3" s="795"/>
      <c r="L3" s="799"/>
      <c r="M3" s="794" t="str">
        <f>UPPER(DATA!M30)</f>
        <v>RAHIMANPURAM</v>
      </c>
      <c r="N3" s="795"/>
      <c r="O3" s="795"/>
      <c r="P3" s="795"/>
      <c r="Q3" s="799"/>
      <c r="R3" s="179" t="s">
        <v>155</v>
      </c>
      <c r="S3" s="794" t="str">
        <f>UPPER(DATA!M32)</f>
        <v>NANDYAL</v>
      </c>
      <c r="T3" s="795"/>
      <c r="U3" s="795"/>
      <c r="V3" s="795"/>
      <c r="W3" s="795"/>
      <c r="X3" s="799"/>
      <c r="Y3" s="800" t="s">
        <v>156</v>
      </c>
      <c r="Z3" s="799"/>
      <c r="AA3" s="794" t="str">
        <f>UPPER(DATA!M28)</f>
        <v>MYPAN1234S</v>
      </c>
      <c r="AB3" s="795"/>
      <c r="AC3" s="796"/>
      <c r="AD3" s="171"/>
      <c r="AE3" s="164"/>
      <c r="AF3" s="171"/>
    </row>
    <row r="4" spans="1:32" ht="45" customHeight="1">
      <c r="A4" s="180"/>
      <c r="B4" s="181" t="s">
        <v>157</v>
      </c>
      <c r="C4" s="182" t="s">
        <v>158</v>
      </c>
      <c r="D4" s="183" t="s">
        <v>159</v>
      </c>
      <c r="E4" s="183" t="s">
        <v>139</v>
      </c>
      <c r="F4" s="182" t="s">
        <v>160</v>
      </c>
      <c r="G4" s="184" t="s">
        <v>161</v>
      </c>
      <c r="H4" s="185" t="s">
        <v>162</v>
      </c>
      <c r="I4" s="186" t="s">
        <v>163</v>
      </c>
      <c r="J4" s="182" t="s">
        <v>164</v>
      </c>
      <c r="K4" s="187" t="s">
        <v>88</v>
      </c>
      <c r="L4" s="187" t="s">
        <v>94</v>
      </c>
      <c r="M4" s="188" t="s">
        <v>100</v>
      </c>
      <c r="N4" s="188" t="s">
        <v>106</v>
      </c>
      <c r="O4" s="185" t="s">
        <v>6</v>
      </c>
      <c r="P4" s="182" t="s">
        <v>165</v>
      </c>
      <c r="Q4" s="189" t="str">
        <f>IF(DATA!D5="","CPS",DATA!D5)</f>
        <v>GPF</v>
      </c>
      <c r="R4" s="186" t="s">
        <v>119</v>
      </c>
      <c r="S4" s="186" t="s">
        <v>166</v>
      </c>
      <c r="T4" s="186" t="s">
        <v>125</v>
      </c>
      <c r="U4" s="187" t="s">
        <v>167</v>
      </c>
      <c r="V4" s="184" t="s">
        <v>168</v>
      </c>
      <c r="W4" s="182" t="s">
        <v>169</v>
      </c>
      <c r="X4" s="185" t="s">
        <v>7</v>
      </c>
      <c r="Y4" s="187" t="s">
        <v>4</v>
      </c>
      <c r="Z4" s="182" t="s">
        <v>170</v>
      </c>
      <c r="AA4" s="182" t="s">
        <v>171</v>
      </c>
      <c r="AB4" s="185" t="s">
        <v>172</v>
      </c>
      <c r="AC4" s="190" t="s">
        <v>173</v>
      </c>
      <c r="AD4" s="180"/>
      <c r="AE4" s="180"/>
      <c r="AF4" s="180"/>
    </row>
    <row r="5" spans="1:32" ht="18.75" customHeight="1">
      <c r="A5" s="171"/>
      <c r="B5" s="191">
        <f>DATA!L3</f>
        <v>45352</v>
      </c>
      <c r="C5" s="192">
        <f>KEY!R29</f>
        <v>67190</v>
      </c>
      <c r="D5" s="192">
        <f>ROUND(C5*KEY!W3,0)</f>
        <v>17731</v>
      </c>
      <c r="E5" s="192">
        <f>IF(KEY!X3=10%,MIN(ROUND(C5*KEY!X3,0),11000),IF(KEY!X3=12%,MIN(ROUND(C5*KEY!X3,0),13000),
   IF(KEY!X3=16%,MIN(ROUND(C5*KEY!X3,0),17000),MIN(ROUND(C5*KEY!X3,0),25000))))</f>
        <v>6719</v>
      </c>
      <c r="F5" s="192"/>
      <c r="G5" s="192">
        <f>IFERROR(DATA!C25,0)</f>
        <v>150</v>
      </c>
      <c r="H5" s="192">
        <f>KEY!Y3</f>
        <v>0</v>
      </c>
      <c r="I5" s="192">
        <f>DATA!N3</f>
        <v>0</v>
      </c>
      <c r="J5" s="192">
        <f>DATA!E41</f>
        <v>0</v>
      </c>
      <c r="K5" s="192">
        <f>IFERROR(DATA!C26,0)</f>
        <v>0</v>
      </c>
      <c r="L5" s="192">
        <f>IFERROR(DATA!C27,0)</f>
        <v>0</v>
      </c>
      <c r="M5" s="192">
        <f>IFERROR(DATA!C28,0)</f>
        <v>0</v>
      </c>
      <c r="N5" s="192">
        <f>IFERROR(DATA!C29,0)</f>
        <v>0</v>
      </c>
      <c r="O5" s="192">
        <f>IFERROR(DATA!O3,0)</f>
        <v>0</v>
      </c>
      <c r="P5" s="193">
        <f t="shared" ref="P5:P18" si="0">SUM(C5:O5)</f>
        <v>91790</v>
      </c>
      <c r="Q5" s="192">
        <f>IF(DATA!$D$5="CPS",ROUND(('ANNEXURE I'!C5+'ANNEXURE I'!D5)*10%,0),IFERROR(DATA!C30,0))</f>
        <v>10000</v>
      </c>
      <c r="R5" s="192">
        <f>IFERROR(DATA!C31,0)</f>
        <v>2500</v>
      </c>
      <c r="S5" s="192">
        <f>IFERROR(DATA!C32,0)</f>
        <v>60</v>
      </c>
      <c r="T5" s="192">
        <f>IFERROR(DATA!C33,0)</f>
        <v>200</v>
      </c>
      <c r="U5" s="192">
        <f>IFERROR(DATA!C34,0)</f>
        <v>225</v>
      </c>
      <c r="V5" s="192">
        <f>IFERROR(DATA!C36,0)</f>
        <v>20</v>
      </c>
      <c r="W5" s="192">
        <f>IFERROR(DATA!C35,0)</f>
        <v>0</v>
      </c>
      <c r="X5" s="192">
        <f>IFERROR(DATA!P3,0)</f>
        <v>0</v>
      </c>
      <c r="Y5" s="192">
        <f>IFERROR(DATA!M3,0)</f>
        <v>5000</v>
      </c>
      <c r="Z5" s="194">
        <f>SUM('ANNEXURE I'!Q5:Y5)</f>
        <v>18005</v>
      </c>
      <c r="AA5" s="194">
        <f t="shared" ref="AA5:AA24" si="1">P5-Z5</f>
        <v>73785</v>
      </c>
      <c r="AB5" s="195">
        <f>KEY!X3</f>
        <v>0.1</v>
      </c>
      <c r="AC5" s="196">
        <f>KEY!W3</f>
        <v>0.26390000000000002</v>
      </c>
      <c r="AD5" s="171"/>
      <c r="AE5" s="197"/>
      <c r="AF5" s="164"/>
    </row>
    <row r="6" spans="1:32" ht="18.75" customHeight="1">
      <c r="A6" s="171"/>
      <c r="B6" s="191">
        <f>DATA!L4</f>
        <v>45383</v>
      </c>
      <c r="C6" s="192">
        <f>KEY!R30</f>
        <v>67190</v>
      </c>
      <c r="D6" s="192">
        <f>ROUND(C6*KEY!W4,0)</f>
        <v>20177</v>
      </c>
      <c r="E6" s="192">
        <f>IF(KEY!X4=10%,MIN(ROUND(C6*KEY!X4,0),11000),IF(KEY!X4=12%,MIN(ROUND(C6*KEY!X4,0),13000),
   IF(KEY!X4=16%,MIN(ROUND(C6*KEY!X4,0),17000),MIN(ROUND(C6*KEY!X4,0),25000))))</f>
        <v>6719</v>
      </c>
      <c r="F6" s="192"/>
      <c r="G6" s="192">
        <f>IF(DATA!$D$25="",0,IF(DATA!$D$25="NO CHANGE",G5,IFERROR(IF(VALUE(DATA!$D$25)=VALUE(B6),DATA!$E$25,G5),0)))</f>
        <v>150</v>
      </c>
      <c r="H6" s="192">
        <f>KEY!Y4</f>
        <v>0</v>
      </c>
      <c r="I6" s="192">
        <f>DATA!N4</f>
        <v>0</v>
      </c>
      <c r="J6" s="192">
        <f t="shared" ref="J6:J16" si="2">J5</f>
        <v>0</v>
      </c>
      <c r="K6" s="192">
        <f>IF(DATA!$D$26="",0,IF(DATA!$D$26="NO CHANGE",K5,IFERROR(IF(VALUE(DATA!$D$26)=VALUE(B6),DATA!$E$26,K5),0)))</f>
        <v>0</v>
      </c>
      <c r="L6" s="192">
        <f>IF(DATA!$D$27="",0,IF(DATA!$D$27="NO CHANGE",L5,IFERROR(IF(VALUE(DATA!$D$27)=VALUE(B6),DATA!$E$27,L5),0)))</f>
        <v>0</v>
      </c>
      <c r="M6" s="192">
        <f>IF(DATA!$D$28="",0,IF(DATA!$D$28="NO CHANGE",M5,IFERROR(IF(VALUE(DATA!$D$28)=VALUE(B6),DATA!$E$28,M5),0)))</f>
        <v>0</v>
      </c>
      <c r="N6" s="192">
        <f>IF(DATA!$D$29="",0,IF(DATA!$D$29="NO CHANGE",N5,IFERROR(IF(VALUE(DATA!$D$29)=VALUE(B6),DATA!$E$29,N5),0)))</f>
        <v>0</v>
      </c>
      <c r="O6" s="192">
        <f>IFERROR(DATA!O4,0)</f>
        <v>0</v>
      </c>
      <c r="P6" s="193">
        <f t="shared" si="0"/>
        <v>94236</v>
      </c>
      <c r="Q6" s="192">
        <f>IF(DATA!$D$5="CPS",ROUND(('ANNEXURE I'!C6+'ANNEXURE I'!D6)*10%,0),IF(DATA!$D$30="",0,IF(DATA!$D$30="NO CHANGE",Q5,IFERROR(IF(VALUE(DATA!$D$30)=VALUE(B6),DATA!$E$30,Q5),0))))</f>
        <v>10000</v>
      </c>
      <c r="R6" s="192">
        <f>IF(DATA!$D$31="",0,IF(DATA!$D$31="NO CHANGE",R5,IFERROR(IF(VALUE(DATA!$D$31)=VALUE(B6),DATA!$E$31,R5),0)))</f>
        <v>2500</v>
      </c>
      <c r="S6" s="192">
        <f>IF(DATA!$D$32="",0,IF(DATA!$D$32="NO CHANGE",S5,IFERROR(IF(VALUE(DATA!$D$32)=VALUE(B6),DATA!$E$32,S5),0)))</f>
        <v>60</v>
      </c>
      <c r="T6" s="192">
        <f>IF(DATA!$D$33="",0,IF(DATA!$D$33="NO CHANGE",T5,IFERROR(IF(VALUE(DATA!$D$33)=VALUE(B6),DATA!$E$33,T5),0)))</f>
        <v>200</v>
      </c>
      <c r="U6" s="192">
        <f>IF(DATA!$D$34="",0,IF(DATA!$D$34="NO CHANGE",U5,IFERROR(IF(VALUE(DATA!$D$34)=VALUE(B6),DATA!$E$34,U5),0)))</f>
        <v>225</v>
      </c>
      <c r="V6" s="192"/>
      <c r="W6" s="192">
        <f>IF(DATA!$D$35="",0,IF(DATA!$D$35="NO CHANGE",W5,IFERROR(IF(VALUE(DATA!$D$35)=VALUE(B6),DATA!$E$35,W5),0)))</f>
        <v>0</v>
      </c>
      <c r="X6" s="192">
        <f>IFERROR(DATA!P4,0)</f>
        <v>0</v>
      </c>
      <c r="Y6" s="192">
        <f>IFERROR(DATA!M4,0)</f>
        <v>5000</v>
      </c>
      <c r="Z6" s="194">
        <f>SUM('ANNEXURE I'!Q6:Y6)</f>
        <v>17985</v>
      </c>
      <c r="AA6" s="194">
        <f t="shared" si="1"/>
        <v>76251</v>
      </c>
      <c r="AB6" s="195">
        <f>KEY!X4</f>
        <v>0.1</v>
      </c>
      <c r="AC6" s="196">
        <f>KEY!W4</f>
        <v>0.30030000000000001</v>
      </c>
      <c r="AD6" s="198"/>
      <c r="AE6" s="197"/>
      <c r="AF6" s="164"/>
    </row>
    <row r="7" spans="1:32" ht="18.75" customHeight="1">
      <c r="A7" s="171"/>
      <c r="B7" s="191">
        <f>DATA!L5</f>
        <v>45413</v>
      </c>
      <c r="C7" s="192">
        <f>KEY!R31</f>
        <v>67190</v>
      </c>
      <c r="D7" s="192">
        <f>ROUND(C7*KEY!W5,0)</f>
        <v>20177</v>
      </c>
      <c r="E7" s="192">
        <f>IF(KEY!X5=10%,MIN(ROUND(C7*KEY!X5,0),11000),IF(KEY!X5=12%,MIN(ROUND(C7*KEY!X5,0),13000),
   IF(KEY!X5=16%,MIN(ROUND(C7*KEY!X5,0),17000),MIN(ROUND(C7*KEY!X5,0),25000))))</f>
        <v>6719</v>
      </c>
      <c r="F7" s="192"/>
      <c r="G7" s="192">
        <f>IF(DATA!$D$25="",0,IF(DATA!$D$25="NO CHANGE",G6,IFERROR(IF(VALUE(DATA!$D$25)=VALUE(B7),DATA!$E$25,G6),0)))</f>
        <v>150</v>
      </c>
      <c r="H7" s="192">
        <f>KEY!Y5</f>
        <v>0</v>
      </c>
      <c r="I7" s="192">
        <f>DATA!N5</f>
        <v>0</v>
      </c>
      <c r="J7" s="192">
        <f t="shared" si="2"/>
        <v>0</v>
      </c>
      <c r="K7" s="192">
        <f>IF(DATA!$D$26="",0,IF(DATA!$D$26="NO CHANGE",K6,IFERROR(IF(VALUE(DATA!$D$26)=VALUE(B7),DATA!$E$26,K6),0)))</f>
        <v>0</v>
      </c>
      <c r="L7" s="192">
        <f>IF(DATA!$D$27="",0,IF(DATA!$D$27="NO CHANGE",L6,IFERROR(IF(VALUE(DATA!$D$27)=VALUE(B7),DATA!$E$27,L6),0)))</f>
        <v>0</v>
      </c>
      <c r="M7" s="192">
        <f>IF(DATA!$D$28="",0,IF(DATA!$D$28="NO CHANGE",M6,IFERROR(IF(VALUE(DATA!$D$28)=VALUE(B7),DATA!$E$28,M6),0)))</f>
        <v>0</v>
      </c>
      <c r="N7" s="192">
        <f>IF(DATA!$D$29="",0,IF(DATA!$D$29="NO CHANGE",N6,IFERROR(IF(VALUE(DATA!$D$29)=VALUE(B7),DATA!$E$29,N6),0)))</f>
        <v>0</v>
      </c>
      <c r="O7" s="192">
        <f>IFERROR(DATA!O5,0)</f>
        <v>0</v>
      </c>
      <c r="P7" s="193">
        <f t="shared" si="0"/>
        <v>94236</v>
      </c>
      <c r="Q7" s="192">
        <f>IF(DATA!$D$5="CPS",ROUND(('ANNEXURE I'!C7+'ANNEXURE I'!D7)*10%,0),IF(DATA!$D$30="",0,IF(DATA!$D$30="NO CHANGE",Q6,IFERROR(IF(VALUE(DATA!$D$30)=VALUE(B7),DATA!$E$30,Q6),0))))</f>
        <v>10000</v>
      </c>
      <c r="R7" s="192">
        <f>IF(DATA!$D$31="",0,IF(DATA!$D$31="NO CHANGE",R6,IFERROR(IF(VALUE(DATA!$D$31)=VALUE(B7),DATA!$E$31,R6),0)))</f>
        <v>2500</v>
      </c>
      <c r="S7" s="192">
        <f>IF(DATA!$D$32="",0,IF(DATA!$D$32="NO CHANGE",S6,IFERROR(IF(VALUE(DATA!$D$32)=VALUE(B7),DATA!$E$32,S6),0)))</f>
        <v>60</v>
      </c>
      <c r="T7" s="192">
        <f>IF(DATA!$D$33="",0,IF(DATA!$D$33="NO CHANGE",T6,IFERROR(IF(VALUE(DATA!$D$33)=VALUE(B7),DATA!$E$33,T6),0)))</f>
        <v>200</v>
      </c>
      <c r="U7" s="192">
        <f>IF(DATA!$D$34="",0,IF(DATA!$D$34="NO CHANGE",U6,IFERROR(IF(VALUE(DATA!$D$34)=VALUE(B7),DATA!$E$34,U6),0)))</f>
        <v>225</v>
      </c>
      <c r="V7" s="192"/>
      <c r="W7" s="192">
        <f>IF(DATA!$D$35="",0,IF(DATA!$D$35="NO CHANGE",W6,IFERROR(IF(VALUE(DATA!$D$35)=VALUE(B7),DATA!$E$35,W6),0)))</f>
        <v>0</v>
      </c>
      <c r="X7" s="192">
        <f>IFERROR(DATA!P5,0)</f>
        <v>0</v>
      </c>
      <c r="Y7" s="192">
        <f>IFERROR(DATA!M5,0)</f>
        <v>5000</v>
      </c>
      <c r="Z7" s="194">
        <f>SUM('ANNEXURE I'!Q7:Y7)</f>
        <v>17985</v>
      </c>
      <c r="AA7" s="194">
        <f t="shared" si="1"/>
        <v>76251</v>
      </c>
      <c r="AB7" s="195">
        <f>KEY!X5</f>
        <v>0.1</v>
      </c>
      <c r="AC7" s="196">
        <f>KEY!W5</f>
        <v>0.30030000000000001</v>
      </c>
      <c r="AD7" s="198"/>
      <c r="AE7" s="197"/>
      <c r="AF7" s="164"/>
    </row>
    <row r="8" spans="1:32" ht="18.75" customHeight="1">
      <c r="A8" s="171"/>
      <c r="B8" s="191">
        <f>DATA!L6</f>
        <v>45444</v>
      </c>
      <c r="C8" s="192">
        <f>KEY!R32</f>
        <v>67190</v>
      </c>
      <c r="D8" s="192">
        <f>ROUND(C8*KEY!W6,0)</f>
        <v>20177</v>
      </c>
      <c r="E8" s="192">
        <f>IF(KEY!X6=10%,MIN(ROUND(C8*KEY!X6,0),11000),IF(KEY!X6=12%,MIN(ROUND(C8*KEY!X6,0),13000),
   IF(KEY!X6=16%,MIN(ROUND(C8*KEY!X6,0),17000),MIN(ROUND(C8*KEY!X6,0),25000))))</f>
        <v>6719</v>
      </c>
      <c r="F8" s="192"/>
      <c r="G8" s="192">
        <f>IF(DATA!$D$25="",0,IF(DATA!$D$25="NO CHANGE",G7,IFERROR(IF(VALUE(DATA!$D$25)=VALUE(B8),DATA!$E$25,G7),0)))</f>
        <v>150</v>
      </c>
      <c r="H8" s="192">
        <f>KEY!Y6</f>
        <v>0</v>
      </c>
      <c r="I8" s="192">
        <f>DATA!N6</f>
        <v>0</v>
      </c>
      <c r="J8" s="192">
        <f t="shared" si="2"/>
        <v>0</v>
      </c>
      <c r="K8" s="192">
        <f>IF(DATA!$D$26="",0,IF(DATA!$D$26="NO CHANGE",K7,IFERROR(IF(VALUE(DATA!$D$26)=VALUE(B8),DATA!$E$26,K7),0)))</f>
        <v>0</v>
      </c>
      <c r="L8" s="192">
        <f>IF(DATA!$D$27="",0,IF(DATA!$D$27="NO CHANGE",L7,IFERROR(IF(VALUE(DATA!$D$27)=VALUE(B8),DATA!$E$27,L7),0)))</f>
        <v>0</v>
      </c>
      <c r="M8" s="192">
        <f>IF(DATA!$D$28="",0,IF(DATA!$D$28="NO CHANGE",M7,IFERROR(IF(VALUE(DATA!$D$28)=VALUE(B8),DATA!$E$28,M7),0)))</f>
        <v>0</v>
      </c>
      <c r="N8" s="192">
        <f>IF(DATA!$D$29="",0,IF(DATA!$D$29="NO CHANGE",N7,IFERROR(IF(VALUE(DATA!$D$29)=VALUE(B8),DATA!$E$29,N7),0)))</f>
        <v>0</v>
      </c>
      <c r="O8" s="192">
        <f>IFERROR(DATA!O6,0)</f>
        <v>0</v>
      </c>
      <c r="P8" s="193">
        <f t="shared" si="0"/>
        <v>94236</v>
      </c>
      <c r="Q8" s="192">
        <f>IF(DATA!$D$5="CPS",ROUND(('ANNEXURE I'!C8+'ANNEXURE I'!D8)*10%,0),IF(DATA!$D$30="",0,IF(DATA!$D$30="NO CHANGE",Q7,IFERROR(IF(VALUE(DATA!$D$30)=VALUE(B8),DATA!$E$30,Q7),0))))</f>
        <v>10000</v>
      </c>
      <c r="R8" s="192">
        <f>IF(DATA!$D$31="",0,IF(DATA!$D$31="NO CHANGE",R7,IFERROR(IF(VALUE(DATA!$D$31)=VALUE(B8),DATA!$E$31,R7),0)))</f>
        <v>2500</v>
      </c>
      <c r="S8" s="192">
        <f>IF(DATA!$D$32="",0,IF(DATA!$D$32="NO CHANGE",S7,IFERROR(IF(VALUE(DATA!$D$32)=VALUE(B8),DATA!$E$32,S7),0)))</f>
        <v>60</v>
      </c>
      <c r="T8" s="192">
        <f>IF(DATA!$D$33="",0,IF(DATA!$D$33="NO CHANGE",T7,IFERROR(IF(VALUE(DATA!$D$33)=VALUE(B8),DATA!$E$33,T7),0)))</f>
        <v>200</v>
      </c>
      <c r="U8" s="192">
        <f>IF(DATA!$D$34="",0,IF(DATA!$D$34="NO CHANGE",U7,IFERROR(IF(VALUE(DATA!$D$34)=VALUE(B8),DATA!$E$34,U7),0)))</f>
        <v>225</v>
      </c>
      <c r="V8" s="192"/>
      <c r="W8" s="192">
        <f>IF(DATA!$D$35="",0,IF(DATA!$D$35="NO CHANGE",W7,IFERROR(IF(VALUE(DATA!$D$35)=VALUE(B8),DATA!$E$35,W7),0)))</f>
        <v>0</v>
      </c>
      <c r="X8" s="192">
        <f>IFERROR(DATA!P6,0)</f>
        <v>0</v>
      </c>
      <c r="Y8" s="192">
        <f>IFERROR(DATA!M6,0)</f>
        <v>5000</v>
      </c>
      <c r="Z8" s="194">
        <f>SUM('ANNEXURE I'!Q8:Y8)</f>
        <v>17985</v>
      </c>
      <c r="AA8" s="194">
        <f t="shared" si="1"/>
        <v>76251</v>
      </c>
      <c r="AB8" s="195">
        <f>KEY!X6</f>
        <v>0.1</v>
      </c>
      <c r="AC8" s="196">
        <f>KEY!W6</f>
        <v>0.30030000000000001</v>
      </c>
      <c r="AD8" s="198"/>
      <c r="AE8" s="197"/>
      <c r="AF8" s="164"/>
    </row>
    <row r="9" spans="1:32" ht="18.75" customHeight="1">
      <c r="A9" s="171"/>
      <c r="B9" s="191">
        <f>DATA!L7</f>
        <v>45474</v>
      </c>
      <c r="C9" s="192">
        <f>KEY!R33</f>
        <v>67190</v>
      </c>
      <c r="D9" s="192">
        <f>ROUND(C9*KEY!W7,0)</f>
        <v>22623</v>
      </c>
      <c r="E9" s="192">
        <f>IF(KEY!X7=10%,MIN(ROUND(C9*KEY!X7,0),11000),IF(KEY!X7=12%,MIN(ROUND(C9*KEY!X7,0),13000),
   IF(KEY!X7=16%,MIN(ROUND(C9*KEY!X7,0),17000),MIN(ROUND(C9*KEY!X7,0),25000))))</f>
        <v>6719</v>
      </c>
      <c r="F9" s="192"/>
      <c r="G9" s="192">
        <f>IF(DATA!$D$25="",0,IF(DATA!$D$25="NO CHANGE",G8,IFERROR(IF(VALUE(DATA!$D$25)=VALUE(B9),DATA!$E$25,G8),0)))</f>
        <v>150</v>
      </c>
      <c r="H9" s="192">
        <f>KEY!Y7</f>
        <v>0</v>
      </c>
      <c r="I9" s="192">
        <f>DATA!N7</f>
        <v>0</v>
      </c>
      <c r="J9" s="192">
        <f t="shared" si="2"/>
        <v>0</v>
      </c>
      <c r="K9" s="192">
        <f>IF(DATA!$D$26="",0,IF(DATA!$D$26="NO CHANGE",K8,IFERROR(IF(VALUE(DATA!$D$26)=VALUE(B9),DATA!$E$26,K8),0)))</f>
        <v>0</v>
      </c>
      <c r="L9" s="192">
        <f>IF(DATA!$D$27="",0,IF(DATA!$D$27="NO CHANGE",L8,IFERROR(IF(VALUE(DATA!$D$27)=VALUE(B9),DATA!$E$27,L8),0)))</f>
        <v>0</v>
      </c>
      <c r="M9" s="192">
        <f>IF(DATA!$D$28="",0,IF(DATA!$D$28="NO CHANGE",M8,IFERROR(IF(VALUE(DATA!$D$28)=VALUE(B9),DATA!$E$28,M8),0)))</f>
        <v>0</v>
      </c>
      <c r="N9" s="192">
        <f>IF(DATA!$D$29="",0,IF(DATA!$D$29="NO CHANGE",N8,IFERROR(IF(VALUE(DATA!$D$29)=VALUE(B9),DATA!$E$29,N8),0)))</f>
        <v>0</v>
      </c>
      <c r="O9" s="192">
        <f>IFERROR(DATA!O7,0)</f>
        <v>0</v>
      </c>
      <c r="P9" s="193">
        <f t="shared" si="0"/>
        <v>96682</v>
      </c>
      <c r="Q9" s="192">
        <f>IF(DATA!$D$5="CPS",ROUND(('ANNEXURE I'!C9+'ANNEXURE I'!D9)*10%,0),IF(DATA!$D$30="",0,IF(DATA!$D$30="NO CHANGE",Q8,IFERROR(IF(VALUE(DATA!$D$30)=VALUE(B9),DATA!$E$30,Q8),0))))</f>
        <v>10000</v>
      </c>
      <c r="R9" s="192">
        <f>IF(DATA!$D$31="",0,IF(DATA!$D$31="NO CHANGE",R8,IFERROR(IF(VALUE(DATA!$D$31)=VALUE(B9),DATA!$E$31,R8),0)))</f>
        <v>2500</v>
      </c>
      <c r="S9" s="192">
        <f>IF(DATA!$D$32="",0,IF(DATA!$D$32="NO CHANGE",S8,IFERROR(IF(VALUE(DATA!$D$32)=VALUE(B9),DATA!$E$32,S8),0)))</f>
        <v>60</v>
      </c>
      <c r="T9" s="192">
        <f>IF(DATA!$D$33="",0,IF(DATA!$D$33="NO CHANGE",T8,IFERROR(IF(VALUE(DATA!$D$33)=VALUE(B9),DATA!$E$33,T8),0)))</f>
        <v>200</v>
      </c>
      <c r="U9" s="192">
        <f>IF(DATA!$D$34="",0,IF(DATA!$D$34="NO CHANGE",U8,IFERROR(IF(VALUE(DATA!$D$34)=VALUE(B9),DATA!$E$34,U8),0)))</f>
        <v>225</v>
      </c>
      <c r="V9" s="192"/>
      <c r="W9" s="192">
        <f>IF(DATA!$D$35="",0,IF(DATA!$D$35="NO CHANGE",W8,IFERROR(IF(VALUE(DATA!$D$35)=VALUE(B9),DATA!$E$35,W8),0)))</f>
        <v>0</v>
      </c>
      <c r="X9" s="192">
        <f>IFERROR(DATA!P7,0)</f>
        <v>0</v>
      </c>
      <c r="Y9" s="192">
        <f>IFERROR(DATA!M7,0)</f>
        <v>5000</v>
      </c>
      <c r="Z9" s="194">
        <f>SUM('ANNEXURE I'!Q9:Y9)</f>
        <v>17985</v>
      </c>
      <c r="AA9" s="194">
        <f t="shared" si="1"/>
        <v>78697</v>
      </c>
      <c r="AB9" s="195">
        <f>KEY!X7</f>
        <v>0.1</v>
      </c>
      <c r="AC9" s="196">
        <f>KEY!W7</f>
        <v>0.3367</v>
      </c>
      <c r="AD9" s="198"/>
      <c r="AE9" s="197"/>
      <c r="AF9" s="164"/>
    </row>
    <row r="10" spans="1:32" ht="18.75" customHeight="1">
      <c r="A10" s="171"/>
      <c r="B10" s="191">
        <f>DATA!L8</f>
        <v>45505</v>
      </c>
      <c r="C10" s="192">
        <f>KEY!R34</f>
        <v>67190</v>
      </c>
      <c r="D10" s="192">
        <f>ROUND(C10*KEY!W8,0)</f>
        <v>22623</v>
      </c>
      <c r="E10" s="192">
        <f>IF(KEY!X8=10%,MIN(ROUND(C10*KEY!X8,0),11000),IF(KEY!X8=12%,MIN(ROUND(C10*KEY!X8,0),13000),
   IF(KEY!X8=16%,MIN(ROUND(C10*KEY!X8,0),17000),MIN(ROUND(C10*KEY!X8,0),25000))))</f>
        <v>6719</v>
      </c>
      <c r="F10" s="192"/>
      <c r="G10" s="192">
        <f>IF(DATA!$D$25="",0,IF(DATA!$D$25="NO CHANGE",G9,IFERROR(IF(VALUE(DATA!$D$25)=VALUE(B10),DATA!$E$25,G9),0)))</f>
        <v>150</v>
      </c>
      <c r="H10" s="192">
        <f>KEY!Y8</f>
        <v>0</v>
      </c>
      <c r="I10" s="192">
        <f>DATA!N8</f>
        <v>0</v>
      </c>
      <c r="J10" s="192">
        <f t="shared" si="2"/>
        <v>0</v>
      </c>
      <c r="K10" s="192">
        <f>IF(DATA!$D$26="",0,IF(DATA!$D$26="NO CHANGE",K9,IFERROR(IF(VALUE(DATA!$D$26)=VALUE(B10),DATA!$E$26,K9),0)))</f>
        <v>0</v>
      </c>
      <c r="L10" s="192">
        <f>IF(DATA!$D$27="",0,IF(DATA!$D$27="NO CHANGE",L9,IFERROR(IF(VALUE(DATA!$D$27)=VALUE(B10),DATA!$E$27,L9),0)))</f>
        <v>0</v>
      </c>
      <c r="M10" s="192">
        <f>IF(DATA!$D$28="",0,IF(DATA!$D$28="NO CHANGE",M9,IFERROR(IF(VALUE(DATA!$D$28)=VALUE(B10),DATA!$E$28,M9),0)))</f>
        <v>0</v>
      </c>
      <c r="N10" s="192">
        <f>IF(DATA!$D$29="",0,IF(DATA!$D$29="NO CHANGE",N9,IFERROR(IF(VALUE(DATA!$D$29)=VALUE(B10),DATA!$E$29,N9),0)))</f>
        <v>0</v>
      </c>
      <c r="O10" s="192">
        <f>IFERROR(DATA!O8,0)</f>
        <v>0</v>
      </c>
      <c r="P10" s="193">
        <f t="shared" si="0"/>
        <v>96682</v>
      </c>
      <c r="Q10" s="192">
        <f>IF(DATA!$D$5="CPS",ROUND(('ANNEXURE I'!C10+'ANNEXURE I'!D10)*10%,0),IF(DATA!$D$30="",0,IF(DATA!$D$30="NO CHANGE",Q9,IFERROR(IF(VALUE(DATA!$D$30)=VALUE(B10),DATA!$E$30,Q9),0))))</f>
        <v>10000</v>
      </c>
      <c r="R10" s="192">
        <f>IF(DATA!$D$31="",0,IF(DATA!$D$31="NO CHANGE",R9,IFERROR(IF(VALUE(DATA!$D$31)=VALUE(B10),DATA!$E$31,R9),0)))</f>
        <v>2500</v>
      </c>
      <c r="S10" s="192">
        <f>IF(DATA!$D$32="",0,IF(DATA!$D$32="NO CHANGE",S9,IFERROR(IF(VALUE(DATA!$D$32)=VALUE(B10),DATA!$E$32,S9),0)))</f>
        <v>60</v>
      </c>
      <c r="T10" s="192">
        <f>IF(DATA!$D$33="",0,IF(DATA!$D$33="NO CHANGE",T9,IFERROR(IF(VALUE(DATA!$D$33)=VALUE(B10),DATA!$E$33,T9),0)))</f>
        <v>200</v>
      </c>
      <c r="U10" s="192">
        <f>IF(DATA!$D$34="",0,IF(DATA!$D$34="NO CHANGE",U9,IFERROR(IF(VALUE(DATA!$D$34)=VALUE(B10),DATA!$E$34,U9),0)))</f>
        <v>225</v>
      </c>
      <c r="V10" s="192"/>
      <c r="W10" s="192">
        <f>IF(DATA!$D$35="",0,IF(DATA!$D$35="NO CHANGE",W9,IFERROR(IF(VALUE(DATA!$D$35)=VALUE(B10),DATA!$E$35,W9),0)))</f>
        <v>0</v>
      </c>
      <c r="X10" s="192">
        <f>IFERROR(DATA!P8,0)</f>
        <v>0</v>
      </c>
      <c r="Y10" s="192">
        <f>IFERROR(DATA!M8,0)</f>
        <v>5000</v>
      </c>
      <c r="Z10" s="194">
        <f>SUM('ANNEXURE I'!Q10:Y10)</f>
        <v>17985</v>
      </c>
      <c r="AA10" s="194">
        <f t="shared" si="1"/>
        <v>78697</v>
      </c>
      <c r="AB10" s="195">
        <f>KEY!X8</f>
        <v>0.1</v>
      </c>
      <c r="AC10" s="196">
        <f>KEY!W8</f>
        <v>0.3367</v>
      </c>
      <c r="AD10" s="198"/>
      <c r="AE10" s="197"/>
      <c r="AF10" s="164"/>
    </row>
    <row r="11" spans="1:32" ht="18.75" customHeight="1">
      <c r="A11" s="171"/>
      <c r="B11" s="191">
        <f>DATA!L9</f>
        <v>45536</v>
      </c>
      <c r="C11" s="192">
        <f>KEY!R35</f>
        <v>67190</v>
      </c>
      <c r="D11" s="192">
        <f>ROUND(C11*KEY!W9,0)</f>
        <v>22623</v>
      </c>
      <c r="E11" s="192">
        <f>IF(KEY!X9=10%,MIN(ROUND(C11*KEY!X9,0),11000),IF(KEY!X9=12%,MIN(ROUND(C11*KEY!X9,0),13000),
   IF(KEY!X9=16%,MIN(ROUND(C11*KEY!X9,0),17000),MIN(ROUND(C11*KEY!X9,0),25000))))</f>
        <v>6719</v>
      </c>
      <c r="F11" s="192"/>
      <c r="G11" s="192">
        <f>IF(DATA!$D$25="",0,IF(DATA!$D$25="NO CHANGE",G10,IFERROR(IF(VALUE(DATA!$D$25)=VALUE(B11),DATA!$E$25,G10),0)))</f>
        <v>150</v>
      </c>
      <c r="H11" s="192">
        <f>KEY!Y9</f>
        <v>0</v>
      </c>
      <c r="I11" s="192">
        <f>DATA!N9</f>
        <v>0</v>
      </c>
      <c r="J11" s="192">
        <f t="shared" si="2"/>
        <v>0</v>
      </c>
      <c r="K11" s="192">
        <f>IF(DATA!$D$26="",0,IF(DATA!$D$26="NO CHANGE",K10,IFERROR(IF(VALUE(DATA!$D$26)=VALUE(B11),DATA!$E$26,K10),0)))</f>
        <v>0</v>
      </c>
      <c r="L11" s="192">
        <f>IF(DATA!$D$27="",0,IF(DATA!$D$27="NO CHANGE",L10,IFERROR(IF(VALUE(DATA!$D$27)=VALUE(B11),DATA!$E$27,L10),0)))</f>
        <v>0</v>
      </c>
      <c r="M11" s="192">
        <f>IF(DATA!$D$28="",0,IF(DATA!$D$28="NO CHANGE",M10,IFERROR(IF(VALUE(DATA!$D$28)=VALUE(B11),DATA!$E$28,M10),0)))</f>
        <v>0</v>
      </c>
      <c r="N11" s="192">
        <f>IF(DATA!$D$29="",0,IF(DATA!$D$29="NO CHANGE",N10,IFERROR(IF(VALUE(DATA!$D$29)=VALUE(B11),DATA!$E$29,N10),0)))</f>
        <v>0</v>
      </c>
      <c r="O11" s="192">
        <f>IFERROR(DATA!O9,0)</f>
        <v>0</v>
      </c>
      <c r="P11" s="193">
        <f t="shared" si="0"/>
        <v>96682</v>
      </c>
      <c r="Q11" s="192">
        <f>IF(DATA!$D$5="CPS",ROUND(('ANNEXURE I'!C11+'ANNEXURE I'!D11)*10%,0),IF(DATA!$D$30="",0,IF(DATA!$D$30="NO CHANGE",Q10,IFERROR(IF(VALUE(DATA!$D$30)=VALUE(B11),DATA!$E$30,Q10),0))))</f>
        <v>10000</v>
      </c>
      <c r="R11" s="192">
        <f>IF(DATA!$D$31="",0,IF(DATA!$D$31="NO CHANGE",R10,IFERROR(IF(VALUE(DATA!$D$31)=VALUE(B11),DATA!$E$31,R10),0)))</f>
        <v>2500</v>
      </c>
      <c r="S11" s="192">
        <f>IF(DATA!$D$32="",0,IF(DATA!$D$32="NO CHANGE",S10,IFERROR(IF(VALUE(DATA!$D$32)=VALUE(B11),DATA!$E$32,S10),0)))</f>
        <v>60</v>
      </c>
      <c r="T11" s="192">
        <f>IF(DATA!$D$33="",0,IF(DATA!$D$33="NO CHANGE",T10,IFERROR(IF(VALUE(DATA!$D$33)=VALUE(B11),DATA!$E$33,T10),0)))</f>
        <v>200</v>
      </c>
      <c r="U11" s="192">
        <f>IF(DATA!$D$34="",0,IF(DATA!$D$34="NO CHANGE",U10,IFERROR(IF(VALUE(DATA!$D$34)=VALUE(B11),DATA!$E$34,U10),0)))</f>
        <v>225</v>
      </c>
      <c r="V11" s="192">
        <f>ROUND(C11/30,0)</f>
        <v>2240</v>
      </c>
      <c r="W11" s="192">
        <f>IF(DATA!$D$35="",0,IF(DATA!$D$35="NO CHANGE",W10,IFERROR(IF(VALUE(DATA!$D$35)=VALUE(B11),DATA!$E$35,W10),0)))</f>
        <v>0</v>
      </c>
      <c r="X11" s="192">
        <f>IFERROR(DATA!P9,0)</f>
        <v>0</v>
      </c>
      <c r="Y11" s="192">
        <f>IFERROR(DATA!M9,0)</f>
        <v>5000</v>
      </c>
      <c r="Z11" s="194">
        <f>SUM('ANNEXURE I'!Q11:Y11)</f>
        <v>20225</v>
      </c>
      <c r="AA11" s="194">
        <f t="shared" si="1"/>
        <v>76457</v>
      </c>
      <c r="AB11" s="195">
        <f>KEY!X9</f>
        <v>0.1</v>
      </c>
      <c r="AC11" s="196">
        <f>KEY!W9</f>
        <v>0.3367</v>
      </c>
      <c r="AD11" s="171"/>
      <c r="AE11" s="197"/>
      <c r="AF11" s="164"/>
    </row>
    <row r="12" spans="1:32" ht="18.75" customHeight="1">
      <c r="A12" s="171"/>
      <c r="B12" s="191">
        <f>DATA!L10</f>
        <v>45566</v>
      </c>
      <c r="C12" s="192">
        <f>KEY!R36</f>
        <v>67190</v>
      </c>
      <c r="D12" s="192">
        <f>ROUND(C12*KEY!W10,0)</f>
        <v>22623</v>
      </c>
      <c r="E12" s="192">
        <f>IF(KEY!X10=10%,MIN(ROUND(C12*KEY!X10,0),11000),IF(KEY!X10=12%,MIN(ROUND(C12*KEY!X10,0),13000),
   IF(KEY!X10=16%,MIN(ROUND(C12*KEY!X10,0),17000),MIN(ROUND(C12*KEY!X10,0),25000))))</f>
        <v>6719</v>
      </c>
      <c r="F12" s="192"/>
      <c r="G12" s="192">
        <f>IF(DATA!$D$25="",0,IF(DATA!$D$25="NO CHANGE",G11,IFERROR(IF(VALUE(DATA!$D$25)=VALUE(B12),DATA!$E$25,G11),0)))</f>
        <v>150</v>
      </c>
      <c r="H12" s="192">
        <f>KEY!Y10</f>
        <v>0</v>
      </c>
      <c r="I12" s="192">
        <f>DATA!N10</f>
        <v>0</v>
      </c>
      <c r="J12" s="192">
        <f t="shared" si="2"/>
        <v>0</v>
      </c>
      <c r="K12" s="192">
        <f>IF(DATA!$D$26="",0,IF(DATA!$D$26="NO CHANGE",K11,IFERROR(IF(VALUE(DATA!$D$26)=VALUE(B12),DATA!$E$26,K11),0)))</f>
        <v>0</v>
      </c>
      <c r="L12" s="192">
        <f>IF(DATA!$D$27="",0,IF(DATA!$D$27="NO CHANGE",L11,IFERROR(IF(VALUE(DATA!$D$27)=VALUE(B12),DATA!$E$27,L11),0)))</f>
        <v>0</v>
      </c>
      <c r="M12" s="192">
        <f>IF(DATA!$D$28="",0,IF(DATA!$D$28="NO CHANGE",M11,IFERROR(IF(VALUE(DATA!$D$28)=VALUE(B12),DATA!$E$28,M11),0)))</f>
        <v>0</v>
      </c>
      <c r="N12" s="192">
        <f>IF(DATA!$D$29="",0,IF(DATA!$D$29="NO CHANGE",N11,IFERROR(IF(VALUE(DATA!$D$29)=VALUE(B12),DATA!$E$29,N11),0)))</f>
        <v>0</v>
      </c>
      <c r="O12" s="192">
        <f>IFERROR(DATA!O10,0)</f>
        <v>0</v>
      </c>
      <c r="P12" s="193">
        <f t="shared" si="0"/>
        <v>96682</v>
      </c>
      <c r="Q12" s="192">
        <f>IF(DATA!$D$5="CPS",ROUND(('ANNEXURE I'!C12+'ANNEXURE I'!D12)*10%,0),IF(DATA!$D$30="",0,IF(DATA!$D$30="NO CHANGE",Q11,IFERROR(IF(VALUE(DATA!$D$30)=VALUE(B12),DATA!$E$30,Q11),0))))</f>
        <v>10000</v>
      </c>
      <c r="R12" s="192">
        <f>IF(DATA!$D$31="",0,IF(DATA!$D$31="NO CHANGE",R11,IFERROR(IF(VALUE(DATA!$D$31)=VALUE(B12),DATA!$E$31,R11),0)))</f>
        <v>2500</v>
      </c>
      <c r="S12" s="192">
        <f>IF(DATA!$D$32="",0,IF(DATA!$D$32="NO CHANGE",S11,IFERROR(IF(VALUE(DATA!$D$32)=VALUE(B12),DATA!$E$32,S11),0)))</f>
        <v>60</v>
      </c>
      <c r="T12" s="192">
        <f>IF(DATA!$D$33="",0,IF(DATA!$D$33="NO CHANGE",T11,IFERROR(IF(VALUE(DATA!$D$33)=VALUE(B12),DATA!$E$33,T11),0)))</f>
        <v>200</v>
      </c>
      <c r="U12" s="192">
        <f>IF(DATA!$D$34="",0,IF(DATA!$D$34="NO CHANGE",U11,IFERROR(IF(VALUE(DATA!$D$34)=VALUE(B12),DATA!$E$34,U11),0)))</f>
        <v>225</v>
      </c>
      <c r="V12" s="192"/>
      <c r="W12" s="192">
        <f>IF(DATA!$D$35="",0,IF(DATA!$D$35="NO CHANGE",W11,IFERROR(IF(VALUE(DATA!$D$35)=VALUE(B12),DATA!$E$35,W11),0)))</f>
        <v>0</v>
      </c>
      <c r="X12" s="192">
        <f>IFERROR(DATA!P10,0)</f>
        <v>0</v>
      </c>
      <c r="Y12" s="192">
        <f>IFERROR(DATA!M10,0)</f>
        <v>5000</v>
      </c>
      <c r="Z12" s="194">
        <f>SUM('ANNEXURE I'!Q12:Y12)</f>
        <v>17985</v>
      </c>
      <c r="AA12" s="194">
        <f t="shared" si="1"/>
        <v>78697</v>
      </c>
      <c r="AB12" s="195">
        <f>KEY!X10</f>
        <v>0.1</v>
      </c>
      <c r="AC12" s="196">
        <f>KEY!W10</f>
        <v>0.3367</v>
      </c>
      <c r="AD12" s="171"/>
      <c r="AE12" s="197"/>
      <c r="AF12" s="164"/>
    </row>
    <row r="13" spans="1:32" ht="18.75" customHeight="1">
      <c r="A13" s="171"/>
      <c r="B13" s="191">
        <f>DATA!L11</f>
        <v>45597</v>
      </c>
      <c r="C13" s="192">
        <f>KEY!R37</f>
        <v>67190</v>
      </c>
      <c r="D13" s="192">
        <f>ROUND(C13*KEY!W11,0)</f>
        <v>22623</v>
      </c>
      <c r="E13" s="192">
        <f>IF(KEY!X11=10%,MIN(ROUND(C13*KEY!X11,0),11000),IF(KEY!X11=12%,MIN(ROUND(C13*KEY!X11,0),13000),
   IF(KEY!X11=16%,MIN(ROUND(C13*KEY!X11,0),17000),MIN(ROUND(C13*KEY!X11,0),25000))))</f>
        <v>6719</v>
      </c>
      <c r="F13" s="192"/>
      <c r="G13" s="192">
        <f>IF(DATA!$D$25="",0,IF(DATA!$D$25="NO CHANGE",G12,IFERROR(IF(VALUE(DATA!$D$25)=VALUE(B13),DATA!$E$25,G12),0)))</f>
        <v>150</v>
      </c>
      <c r="H13" s="192">
        <f>KEY!Y11</f>
        <v>0</v>
      </c>
      <c r="I13" s="192">
        <f>DATA!N11</f>
        <v>0</v>
      </c>
      <c r="J13" s="192">
        <f t="shared" si="2"/>
        <v>0</v>
      </c>
      <c r="K13" s="192">
        <f>IF(DATA!$D$26="",0,IF(DATA!$D$26="NO CHANGE",K12,IFERROR(IF(VALUE(DATA!$D$26)=VALUE(B13),DATA!$E$26,K12),0)))</f>
        <v>0</v>
      </c>
      <c r="L13" s="192">
        <f>IF(DATA!$D$27="",0,IF(DATA!$D$27="NO CHANGE",L12,IFERROR(IF(VALUE(DATA!$D$27)=VALUE(B13),DATA!$E$27,L12),0)))</f>
        <v>0</v>
      </c>
      <c r="M13" s="192">
        <f>IF(DATA!$D$28="",0,IF(DATA!$D$28="NO CHANGE",M12,IFERROR(IF(VALUE(DATA!$D$28)=VALUE(B13),DATA!$E$28,M12),0)))</f>
        <v>0</v>
      </c>
      <c r="N13" s="192">
        <f>IF(DATA!$D$29="",0,IF(DATA!$D$29="NO CHANGE",N12,IFERROR(IF(VALUE(DATA!$D$29)=VALUE(B13),DATA!$E$29,N12),0)))</f>
        <v>0</v>
      </c>
      <c r="O13" s="192">
        <f>IFERROR(DATA!O11,0)</f>
        <v>0</v>
      </c>
      <c r="P13" s="193">
        <f t="shared" si="0"/>
        <v>96682</v>
      </c>
      <c r="Q13" s="192">
        <f>IF(DATA!$D$5="CPS",ROUND(('ANNEXURE I'!C13+'ANNEXURE I'!D13)*10%,0),IF(DATA!$D$30="",0,IF(DATA!$D$30="NO CHANGE",Q12,IFERROR(IF(VALUE(DATA!$D$30)=VALUE(B13),DATA!$E$30,Q12),0))))</f>
        <v>10000</v>
      </c>
      <c r="R13" s="192">
        <f>IF(DATA!$D$31="",0,IF(DATA!$D$31="NO CHANGE",R12,IFERROR(IF(VALUE(DATA!$D$31)=VALUE(B13),DATA!$E$31,R12),0)))</f>
        <v>2500</v>
      </c>
      <c r="S13" s="192">
        <f>IF(DATA!$D$32="",0,IF(DATA!$D$32="NO CHANGE",S12,IFERROR(IF(VALUE(DATA!$D$32)=VALUE(B13),DATA!$E$32,S12),0)))</f>
        <v>60</v>
      </c>
      <c r="T13" s="192">
        <f>IF(DATA!$D$33="",0,IF(DATA!$D$33="NO CHANGE",T12,IFERROR(IF(VALUE(DATA!$D$33)=VALUE(B13),DATA!$E$33,T12),0)))</f>
        <v>200</v>
      </c>
      <c r="U13" s="192">
        <f>IF(DATA!$D$34="",0,IF(DATA!$D$34="NO CHANGE",U12,IFERROR(IF(VALUE(DATA!$D$34)=VALUE(B13),DATA!$E$34,U12),0)))</f>
        <v>225</v>
      </c>
      <c r="V13" s="192"/>
      <c r="W13" s="192">
        <f>IF(DATA!$D$35="",0,IF(DATA!$D$35="NO CHANGE",W12,IFERROR(IF(VALUE(DATA!$D$35)=VALUE(B13),DATA!$E$35,W12),0)))</f>
        <v>0</v>
      </c>
      <c r="X13" s="192">
        <f>IFERROR(DATA!P11,0)</f>
        <v>0</v>
      </c>
      <c r="Y13" s="192">
        <f>IFERROR(DATA!M11,0)</f>
        <v>5000</v>
      </c>
      <c r="Z13" s="194">
        <f>SUM('ANNEXURE I'!Q13:Y13)</f>
        <v>17985</v>
      </c>
      <c r="AA13" s="194">
        <f t="shared" si="1"/>
        <v>78697</v>
      </c>
      <c r="AB13" s="195">
        <f>KEY!X11</f>
        <v>0.1</v>
      </c>
      <c r="AC13" s="196">
        <f>KEY!W11</f>
        <v>0.3367</v>
      </c>
      <c r="AD13" s="171"/>
      <c r="AE13" s="197"/>
      <c r="AF13" s="164"/>
    </row>
    <row r="14" spans="1:32" ht="18.75" customHeight="1">
      <c r="A14" s="171"/>
      <c r="B14" s="191">
        <f>DATA!L12</f>
        <v>45627</v>
      </c>
      <c r="C14" s="192">
        <f>KEY!R38</f>
        <v>67190</v>
      </c>
      <c r="D14" s="192">
        <f>ROUND(C14*KEY!W12,0)</f>
        <v>22623</v>
      </c>
      <c r="E14" s="192">
        <f>IF(KEY!X12=10%,MIN(ROUND(C14*KEY!X12,0),11000),IF(KEY!X12=12%,MIN(ROUND(C14*KEY!X12,0),13000),
   IF(KEY!X12=16%,MIN(ROUND(C14*KEY!X12,0),17000),MIN(ROUND(C14*KEY!X12,0),25000))))</f>
        <v>6719</v>
      </c>
      <c r="F14" s="192"/>
      <c r="G14" s="192">
        <f>IF(DATA!$D$25="",0,IF(DATA!$D$25="NO CHANGE",G13,IFERROR(IF(VALUE(DATA!$D$25)=VALUE(B14),DATA!$E$25,G13),0)))</f>
        <v>150</v>
      </c>
      <c r="H14" s="192">
        <f>KEY!Y12</f>
        <v>0</v>
      </c>
      <c r="I14" s="192">
        <f>DATA!N12</f>
        <v>0</v>
      </c>
      <c r="J14" s="192">
        <f t="shared" si="2"/>
        <v>0</v>
      </c>
      <c r="K14" s="192">
        <f>IF(DATA!$D$26="",0,IF(DATA!$D$26="NO CHANGE",K13,IFERROR(IF(VALUE(DATA!$D$26)=VALUE(B14),DATA!$E$26,K13),0)))</f>
        <v>0</v>
      </c>
      <c r="L14" s="192">
        <f>IF(DATA!$D$27="",0,IF(DATA!$D$27="NO CHANGE",L13,IFERROR(IF(VALUE(DATA!$D$27)=VALUE(B14),DATA!$E$27,L13),0)))</f>
        <v>0</v>
      </c>
      <c r="M14" s="192">
        <f>IF(DATA!$D$28="",0,IF(DATA!$D$28="NO CHANGE",M13,IFERROR(IF(VALUE(DATA!$D$28)=VALUE(B14),DATA!$E$28,M13),0)))</f>
        <v>0</v>
      </c>
      <c r="N14" s="192">
        <f>IF(DATA!$D$29="",0,IF(DATA!$D$29="NO CHANGE",N13,IFERROR(IF(VALUE(DATA!$D$29)=VALUE(B14),DATA!$E$29,N13),0)))</f>
        <v>0</v>
      </c>
      <c r="O14" s="192">
        <f>IFERROR(DATA!O12,0)</f>
        <v>0</v>
      </c>
      <c r="P14" s="193">
        <f t="shared" si="0"/>
        <v>96682</v>
      </c>
      <c r="Q14" s="192">
        <f>IF(DATA!$D$5="CPS",ROUND(('ANNEXURE I'!C14+'ANNEXURE I'!D14)*10%,0),IF(DATA!$D$30="",0,IF(DATA!$D$30="NO CHANGE",Q13,IFERROR(IF(VALUE(DATA!$D$30)=VALUE(B14),DATA!$E$30,Q13),0))))</f>
        <v>10000</v>
      </c>
      <c r="R14" s="192">
        <f>IF(DATA!$D$31="",0,IF(DATA!$D$31="NO CHANGE",R13,IFERROR(IF(VALUE(DATA!$D$31)=VALUE(B14),DATA!$E$31,R13),0)))</f>
        <v>2500</v>
      </c>
      <c r="S14" s="192">
        <f>IF(DATA!$D$32="",0,IF(DATA!$D$32="NO CHANGE",S13,IFERROR(IF(VALUE(DATA!$D$32)=VALUE(B14),DATA!$E$32,S13),0)))</f>
        <v>60</v>
      </c>
      <c r="T14" s="192">
        <f>IF(DATA!$D$33="",0,IF(DATA!$D$33="NO CHANGE",T13,IFERROR(IF(VALUE(DATA!$D$33)=VALUE(B14),DATA!$E$33,T13),0)))</f>
        <v>200</v>
      </c>
      <c r="U14" s="192">
        <f>IF(DATA!$D$34="",0,IF(DATA!$D$34="NO CHANGE",U13,IFERROR(IF(VALUE(DATA!$D$34)=VALUE(B14),DATA!$E$34,U13),0)))</f>
        <v>225</v>
      </c>
      <c r="V14" s="192">
        <f>IFERROR(DATA!E36,0)</f>
        <v>50</v>
      </c>
      <c r="W14" s="192">
        <f>IF(DATA!$D$35="",0,IF(DATA!$D$35="NO CHANGE",W13,IFERROR(IF(VALUE(DATA!$D$35)=VALUE(B14),DATA!$E$35,W13),0)))</f>
        <v>0</v>
      </c>
      <c r="X14" s="192">
        <f>IFERROR(DATA!P12,0)</f>
        <v>0</v>
      </c>
      <c r="Y14" s="192">
        <f>IFERROR(DATA!M12,0)</f>
        <v>5000</v>
      </c>
      <c r="Z14" s="194">
        <f>SUM('ANNEXURE I'!Q14:Y14)</f>
        <v>18035</v>
      </c>
      <c r="AA14" s="194">
        <f t="shared" si="1"/>
        <v>78647</v>
      </c>
      <c r="AB14" s="195">
        <f>KEY!X12</f>
        <v>0.1</v>
      </c>
      <c r="AC14" s="196">
        <f>KEY!W12</f>
        <v>0.3367</v>
      </c>
      <c r="AD14" s="171"/>
      <c r="AE14" s="197"/>
      <c r="AF14" s="164"/>
    </row>
    <row r="15" spans="1:32" ht="18.75" customHeight="1">
      <c r="A15" s="171"/>
      <c r="B15" s="191">
        <f>DATA!L13</f>
        <v>45658</v>
      </c>
      <c r="C15" s="192">
        <f>KEY!R39</f>
        <v>69020</v>
      </c>
      <c r="D15" s="192">
        <f>ROUND(C15*KEY!W13,0)</f>
        <v>23239</v>
      </c>
      <c r="E15" s="192">
        <f>IF(KEY!X13=10%,MIN(ROUND(C15*KEY!X13,0),11000),IF(KEY!X13=12%,MIN(ROUND(C15*KEY!X13,0),13000),
   IF(KEY!X13=16%,MIN(ROUND(C15*KEY!X13,0),17000),MIN(ROUND(C15*KEY!X13,0),25000))))</f>
        <v>6902</v>
      </c>
      <c r="F15" s="192"/>
      <c r="G15" s="192">
        <f>IF(DATA!$D$25="",0,IF(DATA!$D$25="NO CHANGE",G14,IFERROR(IF(VALUE(DATA!$D$25)=VALUE(B15),DATA!$E$25,G14),0)))</f>
        <v>150</v>
      </c>
      <c r="H15" s="192">
        <f>KEY!Y13</f>
        <v>0</v>
      </c>
      <c r="I15" s="192">
        <f>DATA!N13</f>
        <v>0</v>
      </c>
      <c r="J15" s="192">
        <f t="shared" si="2"/>
        <v>0</v>
      </c>
      <c r="K15" s="192">
        <f>IF(DATA!$D$26="",0,IF(DATA!$D$26="NO CHANGE",K14,IFERROR(IF(VALUE(DATA!$D$26)=VALUE(B15),DATA!$E$26,K14),0)))</f>
        <v>0</v>
      </c>
      <c r="L15" s="192">
        <f>IF(DATA!$D$27="",0,IF(DATA!$D$27="NO CHANGE",L14,IFERROR(IF(VALUE(DATA!$D$27)=VALUE(B15),DATA!$E$27,L14),0)))</f>
        <v>0</v>
      </c>
      <c r="M15" s="192">
        <f>IF(DATA!$D$28="",0,IF(DATA!$D$28="NO CHANGE",M14,IFERROR(IF(VALUE(DATA!$D$28)=VALUE(B15),DATA!$E$28,M14),0)))</f>
        <v>0</v>
      </c>
      <c r="N15" s="192">
        <f>IF(DATA!$D$29="",0,IF(DATA!$D$29="NO CHANGE",N14,IFERROR(IF(VALUE(DATA!$D$29)=VALUE(B15),DATA!$E$29,N14),0)))</f>
        <v>0</v>
      </c>
      <c r="O15" s="192">
        <f>IFERROR(DATA!O13,0)</f>
        <v>0</v>
      </c>
      <c r="P15" s="193">
        <f t="shared" si="0"/>
        <v>99311</v>
      </c>
      <c r="Q15" s="192">
        <f>IF(DATA!$D$5="CPS",ROUND(('ANNEXURE I'!C15+'ANNEXURE I'!D15)*10%,0),IF(DATA!$D$30="",0,IF(DATA!$D$30="NO CHANGE",Q14,IFERROR(IF(VALUE(DATA!$D$30)=VALUE(B15),DATA!$E$30,Q14),0))))</f>
        <v>10000</v>
      </c>
      <c r="R15" s="192">
        <f>IF(DATA!$D$31="",0,IF(DATA!$D$31="NO CHANGE",R14,IFERROR(IF(VALUE(DATA!$D$31)=VALUE(B15),DATA!$E$31,R14),0)))</f>
        <v>2500</v>
      </c>
      <c r="S15" s="192">
        <f>IF(DATA!$D$32="",0,IF(DATA!$D$32="NO CHANGE",S14,IFERROR(IF(VALUE(DATA!$D$32)=VALUE(B15),DATA!$E$32,S14),0)))</f>
        <v>60</v>
      </c>
      <c r="T15" s="192">
        <f>IF(DATA!$D$33="",0,IF(DATA!$D$33="NO CHANGE",T14,IFERROR(IF(VALUE(DATA!$D$33)=VALUE(B15),DATA!$E$33,T14),0)))</f>
        <v>200</v>
      </c>
      <c r="U15" s="192">
        <f>IF(DATA!$D$34="",0,IF(DATA!$D$34="NO CHANGE",U14,IFERROR(IF(VALUE(DATA!$D$34)=VALUE(B15),DATA!$E$34,U14),0)))</f>
        <v>225</v>
      </c>
      <c r="V15" s="192"/>
      <c r="W15" s="192">
        <f>IF(DATA!$D$35="",0,IF(DATA!$D$35="NO CHANGE",W14,IFERROR(IF(VALUE(DATA!$D$35)=VALUE(B15),DATA!$E$35,W14),0)))</f>
        <v>0</v>
      </c>
      <c r="X15" s="192">
        <f>IFERROR(DATA!P13,0)</f>
        <v>0</v>
      </c>
      <c r="Y15" s="192">
        <f>IFERROR(DATA!M13,0)</f>
        <v>5000</v>
      </c>
      <c r="Z15" s="194">
        <f>SUM('ANNEXURE I'!Q15:Y15)</f>
        <v>17985</v>
      </c>
      <c r="AA15" s="194">
        <f t="shared" si="1"/>
        <v>81326</v>
      </c>
      <c r="AB15" s="195">
        <f>KEY!X13</f>
        <v>0.1</v>
      </c>
      <c r="AC15" s="196">
        <f>KEY!W13</f>
        <v>0.3367</v>
      </c>
      <c r="AD15" s="171"/>
      <c r="AE15" s="197"/>
      <c r="AF15" s="164"/>
    </row>
    <row r="16" spans="1:32" ht="18.75" customHeight="1">
      <c r="A16" s="171"/>
      <c r="B16" s="191">
        <f>DATA!L14</f>
        <v>45689</v>
      </c>
      <c r="C16" s="192">
        <f>KEY!R40</f>
        <v>70850</v>
      </c>
      <c r="D16" s="192">
        <f>ROUND(C16*KEY!W14,0)</f>
        <v>23855</v>
      </c>
      <c r="E16" s="192">
        <f>IF(KEY!X14=10%,MIN(ROUND(C16*KEY!X14,0),11000),IF(KEY!X14=12%,MIN(ROUND(C16*KEY!X14,0),13000),
   IF(KEY!X14=16%,MIN(ROUND(C16*KEY!X14,0),17000),MIN(ROUND(C16*KEY!X14,0),25000))))</f>
        <v>7085</v>
      </c>
      <c r="F16" s="192"/>
      <c r="G16" s="192">
        <f>IF(DATA!$D$25="",0,IF(DATA!$D$25="NO CHANGE",G15,IFERROR(IF(VALUE(DATA!$D$25)=VALUE(B16),DATA!$E$25,G15),0)))</f>
        <v>150</v>
      </c>
      <c r="H16" s="192">
        <f>KEY!Y14</f>
        <v>0</v>
      </c>
      <c r="I16" s="192">
        <f>DATA!N14</f>
        <v>0</v>
      </c>
      <c r="J16" s="192">
        <f t="shared" si="2"/>
        <v>0</v>
      </c>
      <c r="K16" s="192">
        <f>IF(DATA!$D$26="",0,IF(DATA!$D$26="NO CHANGE",K15,IFERROR(IF(VALUE(DATA!$D$26)=VALUE(B16),DATA!$E$26,K15),0)))</f>
        <v>0</v>
      </c>
      <c r="L16" s="192">
        <f>IF(DATA!$D$27="",0,IF(DATA!$D$27="NO CHANGE",L15,IFERROR(IF(VALUE(DATA!$D$27)=VALUE(B16),DATA!$E$27,L15),0)))</f>
        <v>0</v>
      </c>
      <c r="M16" s="192">
        <f>IF(DATA!$D$28="",0,IF(DATA!$D$28="NO CHANGE",M15,IFERROR(IF(VALUE(DATA!$D$28)=VALUE(B16),DATA!$E$28,M15),0)))</f>
        <v>0</v>
      </c>
      <c r="N16" s="192">
        <f>IF(DATA!$D$29="",0,IF(DATA!$D$29="NO CHANGE",N15,IFERROR(IF(VALUE(DATA!$D$29)=VALUE(B16),DATA!$E$29,N15),0)))</f>
        <v>0</v>
      </c>
      <c r="O16" s="192">
        <f>IFERROR(DATA!O14,0)</f>
        <v>0</v>
      </c>
      <c r="P16" s="193">
        <f t="shared" si="0"/>
        <v>101940</v>
      </c>
      <c r="Q16" s="192">
        <f>IF(DATA!$D$5="CPS",ROUND(('ANNEXURE I'!C16+'ANNEXURE I'!D16)*10%,0),IF(DATA!$D$30="",0,IF(DATA!$D$30="NO CHANGE",Q15,IFERROR(IF(VALUE(DATA!$D$30)=VALUE(B16),DATA!$E$30,Q15),0))))</f>
        <v>10000</v>
      </c>
      <c r="R16" s="192">
        <f>IF(DATA!$D$31="",0,IF(DATA!$D$31="NO CHANGE",R15,IFERROR(IF(VALUE(DATA!$D$31)=VALUE(B16),DATA!$E$31,R15),0)))</f>
        <v>2500</v>
      </c>
      <c r="S16" s="192">
        <f>IF(DATA!$D$32="",0,IF(DATA!$D$32="NO CHANGE",S15,IFERROR(IF(VALUE(DATA!$D$32)=VALUE(B16),DATA!$E$32,S15),0)))</f>
        <v>60</v>
      </c>
      <c r="T16" s="192">
        <f>IF(DATA!$D$33="",0,IF(DATA!$D$33="NO CHANGE",T15,IFERROR(IF(VALUE(DATA!$D$33)=VALUE(B16),DATA!$E$33,T15),0)))</f>
        <v>200</v>
      </c>
      <c r="U16" s="192">
        <f>IF(DATA!$D$34="",0,IF(DATA!$D$34="NO CHANGE",U15,IFERROR(IF(VALUE(DATA!$D$34)=VALUE(B16),DATA!$E$34,U15),0)))</f>
        <v>225</v>
      </c>
      <c r="V16" s="192"/>
      <c r="W16" s="192">
        <f>IF(DATA!$D$35="",0,IF(DATA!$D$35="NO CHANGE",W15,IFERROR(IF(VALUE(DATA!$D$35)=VALUE(B16),DATA!$E$35,W15),0)))</f>
        <v>0</v>
      </c>
      <c r="X16" s="192">
        <f>IFERROR(DATA!P14,0)</f>
        <v>0</v>
      </c>
      <c r="Y16" s="192">
        <f>IFERROR(DATA!M14,0)</f>
        <v>0</v>
      </c>
      <c r="Z16" s="194">
        <f>SUM('ANNEXURE I'!Q16:Y16)</f>
        <v>12985</v>
      </c>
      <c r="AA16" s="194">
        <f t="shared" si="1"/>
        <v>88955</v>
      </c>
      <c r="AB16" s="195">
        <f>KEY!X14</f>
        <v>0.1</v>
      </c>
      <c r="AC16" s="196">
        <f>KEY!W14</f>
        <v>0.3367</v>
      </c>
      <c r="AD16" s="171"/>
      <c r="AE16" s="197"/>
      <c r="AF16" s="164"/>
    </row>
    <row r="17" spans="1:32" ht="18.75" customHeight="1">
      <c r="A17" s="171"/>
      <c r="B17" s="199" t="s">
        <v>174</v>
      </c>
      <c r="C17" s="192">
        <f>IF(DATA!D10="N.A.",0,IF(DATA!D10="",0,IF(VALUE(DATA!D10)&gt;=VALUE('ANNEXURE I'!B5),KEY!Y44,0)))</f>
        <v>0</v>
      </c>
      <c r="D17" s="192">
        <f>IFERROR(ROUND(C17*AC17,0),0)</f>
        <v>0</v>
      </c>
      <c r="E17" s="192">
        <f>IF(AB17=10%,MIN(ROUND(C17*AB17,0),11000),IF(AB17=12%,MIN(ROUND(C17*AB17,0),13000), IF(AB17=16%,MIN(ROUND(C17*AB17,0),17000),IF(AB17=24%,MIN(ROUND(C17*AB17,0),25000),ROUND(C17*AB17,0)))))</f>
        <v>0</v>
      </c>
      <c r="F17" s="192"/>
      <c r="G17" s="192"/>
      <c r="H17" s="192">
        <f>IFERROR(IF(AND(VALUE(DATA!$D$10)&gt;=VALUE('ANNEXURE I'!$B$5),(DATA!$E$10=30)),LOOKUP(DATA!$D$10,$B$5:$B$16,H5:H16),IF(AND(VALUE(DATA!$D$10)&gt;=VALUE('ANNEXURE I'!$B$5),(DATA!$E$10=15)),LOOKUP(DATA!$D$10,$B$5:$B$16,H5:H16/2),0)),0)</f>
        <v>0</v>
      </c>
      <c r="I17" s="192">
        <f>IFERROR(IF(AND(VALUE(DATA!$D$10)&gt;=VALUE('ANNEXURE I'!$B$5),(DATA!$E$10=30)),LOOKUP(DATA!$D$10,$B$5:$B$16,I5:I16),IF(AND(VALUE(DATA!$D$10)&gt;=VALUE('ANNEXURE I'!$B$5),(DATA!$E$10=15)),LOOKUP(DATA!$D$10,$B$5:$B$16,I5:I16/2),0)),0)</f>
        <v>0</v>
      </c>
      <c r="J17" s="192">
        <f>IFERROR(IF(AND(VALUE(DATA!$D$10)&gt;=VALUE('ANNEXURE I'!$B$5),(DATA!$E$10=30)),LOOKUP(DATA!$D$10,$B$5:$B$16,J5:J16),IF(AND(VALUE(DATA!$D$10)&gt;=VALUE('ANNEXURE I'!$B$5),(DATA!$E$10=15)),LOOKUP(DATA!$D$10,$B$5:$B$16,J5:J16/2),0)),0)</f>
        <v>0</v>
      </c>
      <c r="K17" s="192">
        <f>IFERROR(IF(AND(VALUE(DATA!$D$10)&gt;=VALUE('ANNEXURE I'!$B$5),(DATA!$E$10=30)),LOOKUP(DATA!$D$10,$B$5:$B$16,K5:K16),IF(AND(VALUE(DATA!$D$10)&gt;=VALUE('ANNEXURE I'!$B$5),(DATA!$E$10=15)),LOOKUP(DATA!$D$10,$B$5:$B$16,K5:K16/2),0)),0)</f>
        <v>0</v>
      </c>
      <c r="L17" s="192"/>
      <c r="M17" s="192"/>
      <c r="N17" s="192"/>
      <c r="O17" s="192"/>
      <c r="P17" s="193">
        <f t="shared" si="0"/>
        <v>0</v>
      </c>
      <c r="Q17" s="192"/>
      <c r="R17" s="192"/>
      <c r="S17" s="192"/>
      <c r="T17" s="192"/>
      <c r="U17" s="192"/>
      <c r="V17" s="192"/>
      <c r="W17" s="192"/>
      <c r="X17" s="192"/>
      <c r="Y17" s="192"/>
      <c r="Z17" s="194">
        <f>SUM('ANNEXURE I'!Q17:Y17)</f>
        <v>0</v>
      </c>
      <c r="AA17" s="194">
        <f t="shared" si="1"/>
        <v>0</v>
      </c>
      <c r="AB17" s="195">
        <f>IFERROR(IF(VALUE(DATA!D10)&gt;=VALUE('ANNEXURE I'!B5),LOOKUP(KEY!W44,KEY!T3:T14,KEY!X3:X14),0),0)</f>
        <v>0</v>
      </c>
      <c r="AC17" s="196">
        <f>IFERROR(IF(VALUE(DATA!D10)&gt;=VALUE('ANNEXURE I'!B5),LOOKUP(KEY!W44,KEY!T3:T14,KEY!W3:W14),0),0)</f>
        <v>0</v>
      </c>
      <c r="AD17" s="171"/>
      <c r="AE17" s="164"/>
      <c r="AF17" s="171"/>
    </row>
    <row r="18" spans="1:32" ht="18.75" customHeight="1">
      <c r="A18" s="171"/>
      <c r="B18" s="200" t="s">
        <v>175</v>
      </c>
      <c r="C18" s="201">
        <f>IF(DATA!B19="",DATA!B18,DATA!B19)</f>
        <v>0</v>
      </c>
      <c r="D18" s="201">
        <f>IF(DATA!C19="",DATA!C18,DATA!C19)</f>
        <v>0</v>
      </c>
      <c r="E18" s="201">
        <f>IF(DATA!D19="",DATA!D18,DATA!D19)</f>
        <v>0</v>
      </c>
      <c r="F18" s="202"/>
      <c r="G18" s="202"/>
      <c r="H18" s="192"/>
      <c r="I18" s="192"/>
      <c r="J18" s="192"/>
      <c r="K18" s="192"/>
      <c r="L18" s="192"/>
      <c r="M18" s="192"/>
      <c r="N18" s="192"/>
      <c r="O18" s="192"/>
      <c r="P18" s="193">
        <f t="shared" si="0"/>
        <v>0</v>
      </c>
      <c r="Q18" s="192">
        <f>IF(DATA!E19="",DATA!E18,DATA!E19)</f>
        <v>0</v>
      </c>
      <c r="R18" s="192"/>
      <c r="S18" s="192"/>
      <c r="T18" s="192"/>
      <c r="U18" s="192"/>
      <c r="V18" s="192"/>
      <c r="W18" s="192"/>
      <c r="X18" s="192"/>
      <c r="Y18" s="192"/>
      <c r="Z18" s="194">
        <f>SUM('ANNEXURE I'!Q18:Y18)</f>
        <v>0</v>
      </c>
      <c r="AA18" s="194">
        <f t="shared" si="1"/>
        <v>0</v>
      </c>
      <c r="AB18" s="195">
        <f>IF(DATA!D9="",0,IF(DATA!D9="N.A.",0,IF(AND(VALUE(DATA!D9)&gt;=VALUE(B5),VALUE(DATA!D9)&lt;=VALUE(B16)),KEY!T54,0)))</f>
        <v>0.1</v>
      </c>
      <c r="AC18" s="196">
        <f>IF(DATA!D9="",0,IF(DATA!D9="N.A.",0,IF(AND(VALUE(DATA!D9)&gt;=VALUE(B5),VALUE(DATA!D9)&lt;=VALUE(B16)),KEY!T53,0)))</f>
        <v>0.3367</v>
      </c>
      <c r="AD18" s="171"/>
      <c r="AE18" s="164"/>
      <c r="AF18" s="171"/>
    </row>
    <row r="19" spans="1:32" ht="18.75" customHeight="1">
      <c r="A19" s="171"/>
      <c r="B19" s="203" t="s">
        <v>176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4">
        <f>DATA!J26+DATA!J25</f>
        <v>0</v>
      </c>
      <c r="Q19" s="192"/>
      <c r="R19" s="192"/>
      <c r="S19" s="192"/>
      <c r="T19" s="192"/>
      <c r="U19" s="192"/>
      <c r="V19" s="192"/>
      <c r="W19" s="192"/>
      <c r="X19" s="192"/>
      <c r="Y19" s="192"/>
      <c r="Z19" s="194"/>
      <c r="AA19" s="194">
        <f t="shared" si="1"/>
        <v>0</v>
      </c>
      <c r="AB19" s="781" t="str">
        <f t="shared" ref="AB19:AB24" si="3">B19</f>
        <v>MRB Claims</v>
      </c>
      <c r="AC19" s="720"/>
      <c r="AD19" s="171"/>
      <c r="AE19" s="164"/>
      <c r="AF19" s="171"/>
    </row>
    <row r="20" spans="1:32" ht="18.75" customHeight="1">
      <c r="A20" s="171"/>
      <c r="B20" s="200" t="s">
        <v>177</v>
      </c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3">
        <f t="shared" ref="P20:P24" si="4">SUM(C20:O20)</f>
        <v>0</v>
      </c>
      <c r="Q20" s="192"/>
      <c r="R20" s="192"/>
      <c r="S20" s="192"/>
      <c r="T20" s="192"/>
      <c r="U20" s="192"/>
      <c r="V20" s="192"/>
      <c r="W20" s="192"/>
      <c r="X20" s="192"/>
      <c r="Y20" s="192"/>
      <c r="Z20" s="194">
        <f>SUM('ANNEXURE I'!Q20:Y20)</f>
        <v>0</v>
      </c>
      <c r="AA20" s="194">
        <f t="shared" si="1"/>
        <v>0</v>
      </c>
      <c r="AB20" s="781" t="str">
        <f t="shared" si="3"/>
        <v>DA Arrs 1</v>
      </c>
      <c r="AC20" s="720"/>
      <c r="AD20" s="171"/>
      <c r="AE20" s="164"/>
      <c r="AF20" s="171"/>
    </row>
    <row r="21" spans="1:32" ht="18.75" customHeight="1">
      <c r="A21" s="171"/>
      <c r="B21" s="200" t="s">
        <v>178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3">
        <f t="shared" si="4"/>
        <v>0</v>
      </c>
      <c r="Q21" s="192"/>
      <c r="R21" s="192"/>
      <c r="S21" s="192"/>
      <c r="T21" s="192"/>
      <c r="U21" s="192"/>
      <c r="V21" s="192"/>
      <c r="W21" s="192"/>
      <c r="X21" s="192"/>
      <c r="Y21" s="192"/>
      <c r="Z21" s="194">
        <f>SUM('ANNEXURE I'!Q21:Y21)</f>
        <v>0</v>
      </c>
      <c r="AA21" s="194">
        <f t="shared" si="1"/>
        <v>0</v>
      </c>
      <c r="AB21" s="781" t="str">
        <f t="shared" si="3"/>
        <v>DA Arrs 2</v>
      </c>
      <c r="AC21" s="720"/>
      <c r="AD21" s="171"/>
      <c r="AE21" s="164"/>
      <c r="AF21" s="171"/>
    </row>
    <row r="22" spans="1:32" ht="18.75" customHeight="1">
      <c r="A22" s="171"/>
      <c r="B22" s="200" t="s">
        <v>179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3">
        <f t="shared" si="4"/>
        <v>0</v>
      </c>
      <c r="Q22" s="192"/>
      <c r="R22" s="192"/>
      <c r="S22" s="192"/>
      <c r="T22" s="192"/>
      <c r="U22" s="192"/>
      <c r="V22" s="192"/>
      <c r="W22" s="192"/>
      <c r="X22" s="192"/>
      <c r="Y22" s="192"/>
      <c r="Z22" s="194">
        <f>SUM('ANNEXURE I'!Q22:Y22)</f>
        <v>0</v>
      </c>
      <c r="AA22" s="194">
        <f t="shared" si="1"/>
        <v>0</v>
      </c>
      <c r="AB22" s="781" t="str">
        <f t="shared" si="3"/>
        <v>HRA Arrs</v>
      </c>
      <c r="AC22" s="720"/>
      <c r="AD22" s="171"/>
      <c r="AE22" s="164"/>
      <c r="AF22" s="171"/>
    </row>
    <row r="23" spans="1:32" ht="18.75" customHeight="1">
      <c r="A23" s="171"/>
      <c r="B23" s="200" t="s">
        <v>180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3">
        <f t="shared" si="4"/>
        <v>0</v>
      </c>
      <c r="Q23" s="192"/>
      <c r="R23" s="192"/>
      <c r="S23" s="192"/>
      <c r="T23" s="192"/>
      <c r="U23" s="192"/>
      <c r="V23" s="192"/>
      <c r="W23" s="192"/>
      <c r="X23" s="192"/>
      <c r="Y23" s="192"/>
      <c r="Z23" s="194">
        <f>SUM('ANNEXURE I'!Q23:Y23)</f>
        <v>0</v>
      </c>
      <c r="AA23" s="194">
        <f t="shared" si="1"/>
        <v>0</v>
      </c>
      <c r="AB23" s="781" t="str">
        <f t="shared" si="3"/>
        <v>INC. Arrs</v>
      </c>
      <c r="AC23" s="720"/>
      <c r="AD23" s="171"/>
      <c r="AE23" s="164"/>
      <c r="AF23" s="171"/>
    </row>
    <row r="24" spans="1:32" ht="18.75" customHeight="1">
      <c r="A24" s="171"/>
      <c r="B24" s="200" t="s">
        <v>181</v>
      </c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3">
        <f t="shared" si="4"/>
        <v>0</v>
      </c>
      <c r="Q24" s="192"/>
      <c r="R24" s="192"/>
      <c r="S24" s="192"/>
      <c r="T24" s="204"/>
      <c r="U24" s="204"/>
      <c r="V24" s="192"/>
      <c r="W24" s="192"/>
      <c r="X24" s="192"/>
      <c r="Y24" s="192"/>
      <c r="Z24" s="194">
        <f>SUM('ANNEXURE I'!Q24:Y24)</f>
        <v>0</v>
      </c>
      <c r="AA24" s="194">
        <f t="shared" si="1"/>
        <v>0</v>
      </c>
      <c r="AB24" s="781" t="str">
        <f t="shared" si="3"/>
        <v>PRO. Arrs</v>
      </c>
      <c r="AC24" s="720"/>
      <c r="AD24" s="171"/>
      <c r="AE24" s="164"/>
      <c r="AF24" s="171"/>
    </row>
    <row r="25" spans="1:32" ht="30" customHeight="1">
      <c r="A25" s="205"/>
      <c r="B25" s="206" t="s">
        <v>48</v>
      </c>
      <c r="C25" s="207">
        <f t="shared" ref="C25:AA25" si="5">SUM(C5:C24)</f>
        <v>811770</v>
      </c>
      <c r="D25" s="207">
        <f t="shared" si="5"/>
        <v>261094</v>
      </c>
      <c r="E25" s="207">
        <f t="shared" si="5"/>
        <v>81177</v>
      </c>
      <c r="F25" s="207">
        <f t="shared" si="5"/>
        <v>0</v>
      </c>
      <c r="G25" s="207">
        <f t="shared" si="5"/>
        <v>1800</v>
      </c>
      <c r="H25" s="207">
        <f t="shared" si="5"/>
        <v>0</v>
      </c>
      <c r="I25" s="207">
        <f t="shared" si="5"/>
        <v>0</v>
      </c>
      <c r="J25" s="207">
        <f t="shared" si="5"/>
        <v>0</v>
      </c>
      <c r="K25" s="207">
        <f t="shared" si="5"/>
        <v>0</v>
      </c>
      <c r="L25" s="207">
        <f t="shared" si="5"/>
        <v>0</v>
      </c>
      <c r="M25" s="207">
        <f t="shared" si="5"/>
        <v>0</v>
      </c>
      <c r="N25" s="207">
        <f t="shared" si="5"/>
        <v>0</v>
      </c>
      <c r="O25" s="207">
        <f t="shared" si="5"/>
        <v>0</v>
      </c>
      <c r="P25" s="208">
        <f t="shared" si="5"/>
        <v>1155841</v>
      </c>
      <c r="Q25" s="207">
        <f t="shared" si="5"/>
        <v>120000</v>
      </c>
      <c r="R25" s="207">
        <f t="shared" si="5"/>
        <v>30000</v>
      </c>
      <c r="S25" s="207">
        <f t="shared" si="5"/>
        <v>720</v>
      </c>
      <c r="T25" s="207">
        <f t="shared" si="5"/>
        <v>2400</v>
      </c>
      <c r="U25" s="207">
        <f t="shared" si="5"/>
        <v>2700</v>
      </c>
      <c r="V25" s="207">
        <f t="shared" si="5"/>
        <v>2310</v>
      </c>
      <c r="W25" s="207">
        <f t="shared" si="5"/>
        <v>0</v>
      </c>
      <c r="X25" s="207">
        <f t="shared" si="5"/>
        <v>0</v>
      </c>
      <c r="Y25" s="207">
        <f t="shared" si="5"/>
        <v>55000</v>
      </c>
      <c r="Z25" s="208">
        <f t="shared" si="5"/>
        <v>213130</v>
      </c>
      <c r="AA25" s="208">
        <f t="shared" si="5"/>
        <v>942711</v>
      </c>
      <c r="AB25" s="787"/>
      <c r="AC25" s="720"/>
      <c r="AD25" s="205"/>
      <c r="AE25" s="209"/>
      <c r="AF25" s="205"/>
    </row>
    <row r="26" spans="1:32" ht="15" customHeight="1">
      <c r="A26" s="205"/>
      <c r="B26" s="210" t="s">
        <v>182</v>
      </c>
      <c r="C26" s="788" t="s">
        <v>182</v>
      </c>
      <c r="D26" s="789"/>
      <c r="E26" s="789"/>
      <c r="F26" s="789"/>
      <c r="G26" s="789"/>
      <c r="H26" s="789"/>
      <c r="I26" s="789"/>
      <c r="J26" s="789"/>
      <c r="K26" s="789"/>
      <c r="L26" s="789"/>
      <c r="M26" s="789"/>
      <c r="N26" s="789"/>
      <c r="O26" s="789"/>
      <c r="P26" s="789"/>
      <c r="Q26" s="789"/>
      <c r="R26" s="211" t="s">
        <v>182</v>
      </c>
      <c r="S26" s="790" t="s">
        <v>182</v>
      </c>
      <c r="T26" s="789"/>
      <c r="U26" s="789"/>
      <c r="V26" s="789"/>
      <c r="W26" s="789"/>
      <c r="X26" s="789"/>
      <c r="Y26" s="789"/>
      <c r="Z26" s="789"/>
      <c r="AA26" s="789"/>
      <c r="AB26" s="789"/>
      <c r="AC26" s="791"/>
      <c r="AD26" s="205"/>
      <c r="AE26" s="209"/>
      <c r="AF26" s="205"/>
    </row>
    <row r="27" spans="1:32" ht="75" customHeight="1">
      <c r="A27" s="205"/>
      <c r="B27" s="212"/>
      <c r="C27" s="782" t="s">
        <v>183</v>
      </c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782" t="s">
        <v>184</v>
      </c>
      <c r="S27" s="675"/>
      <c r="T27" s="675"/>
      <c r="U27" s="675"/>
      <c r="V27" s="675"/>
      <c r="W27" s="675"/>
      <c r="X27" s="675"/>
      <c r="Y27" s="675"/>
      <c r="Z27" s="675"/>
      <c r="AA27" s="675"/>
      <c r="AB27" s="675"/>
      <c r="AC27" s="213"/>
      <c r="AD27" s="205"/>
      <c r="AE27" s="209"/>
      <c r="AF27" s="205"/>
    </row>
    <row r="28" spans="1:32" ht="15.75" customHeight="1">
      <c r="A28" s="171"/>
      <c r="B28" s="171"/>
      <c r="C28" s="780" t="s">
        <v>185</v>
      </c>
      <c r="D28" s="707"/>
      <c r="E28" s="70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707"/>
      <c r="U28" s="707"/>
      <c r="V28" s="707"/>
      <c r="W28" s="707"/>
      <c r="X28" s="707"/>
      <c r="Y28" s="707"/>
      <c r="Z28" s="707"/>
      <c r="AA28" s="707"/>
      <c r="AB28" s="707"/>
      <c r="AC28" s="707"/>
      <c r="AD28" s="171"/>
      <c r="AE28" s="164"/>
      <c r="AF28" s="171"/>
    </row>
    <row r="29" spans="1:32" ht="17.25" customHeight="1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64"/>
      <c r="AF29" s="171"/>
    </row>
    <row r="30" spans="1:32" ht="17.25" customHeight="1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64"/>
      <c r="AF30" s="171"/>
    </row>
    <row r="31" spans="1:32" ht="17.25" customHeight="1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64"/>
      <c r="AF31" s="171"/>
    </row>
    <row r="32" spans="1:32" ht="17.25" customHeight="1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64"/>
      <c r="AF32" s="171"/>
    </row>
    <row r="33" spans="1:32" ht="17.25" customHeight="1">
      <c r="A33" s="171"/>
      <c r="B33" s="171"/>
      <c r="C33" s="171"/>
      <c r="D33" s="171"/>
      <c r="E33" s="171"/>
      <c r="F33" s="214"/>
      <c r="G33" s="215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64"/>
      <c r="AF33" s="171"/>
    </row>
    <row r="34" spans="1:32" ht="17.25" customHeight="1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64"/>
      <c r="AF34" s="171"/>
    </row>
    <row r="35" spans="1:32" ht="17.25" customHeight="1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64"/>
      <c r="AF35" s="171"/>
    </row>
    <row r="36" spans="1:32" ht="17.25" customHeight="1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64"/>
      <c r="AF36" s="171"/>
    </row>
    <row r="37" spans="1:32" ht="17.25" customHeight="1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64"/>
      <c r="AF37" s="171"/>
    </row>
    <row r="38" spans="1:32" ht="17.25" customHeight="1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64"/>
      <c r="AF38" s="171"/>
    </row>
    <row r="39" spans="1:32" ht="17.25" customHeight="1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64"/>
      <c r="AF39" s="171"/>
    </row>
    <row r="40" spans="1:32" ht="17.25" customHeight="1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64"/>
      <c r="AF40" s="171"/>
    </row>
    <row r="41" spans="1:32" ht="17.25" customHeight="1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64"/>
      <c r="AF41" s="171"/>
    </row>
    <row r="42" spans="1:32" ht="17.25" customHeight="1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64"/>
      <c r="AF42" s="171"/>
    </row>
    <row r="43" spans="1:32" ht="17.25" customHeight="1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64"/>
      <c r="AF43" s="171"/>
    </row>
    <row r="44" spans="1:32" ht="17.25" customHeight="1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64"/>
      <c r="AF44" s="171"/>
    </row>
    <row r="45" spans="1:32" ht="17.25" customHeight="1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64"/>
      <c r="AF45" s="171"/>
    </row>
    <row r="46" spans="1:32" ht="17.25" customHeight="1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64"/>
      <c r="AF46" s="171"/>
    </row>
    <row r="47" spans="1:32" ht="17.25" customHeight="1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64"/>
      <c r="AF47" s="171"/>
    </row>
    <row r="48" spans="1:32" ht="17.25" customHeight="1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64"/>
      <c r="AF48" s="171"/>
    </row>
    <row r="49" spans="1:32" ht="17.25" customHeight="1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64"/>
      <c r="AF49" s="171"/>
    </row>
    <row r="50" spans="1:32" ht="17.2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64"/>
      <c r="AF50" s="171"/>
    </row>
    <row r="51" spans="1:32" ht="17.25" customHeight="1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64"/>
      <c r="AF51" s="171"/>
    </row>
    <row r="52" spans="1:32" ht="17.25" customHeight="1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64"/>
      <c r="AF52" s="171"/>
    </row>
    <row r="53" spans="1:32" ht="17.25" customHeight="1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64"/>
      <c r="AF53" s="171"/>
    </row>
    <row r="54" spans="1:32" ht="17.25" customHeight="1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64"/>
      <c r="AF54" s="171"/>
    </row>
    <row r="55" spans="1:32" ht="17.25" customHeigh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64"/>
      <c r="AF55" s="171"/>
    </row>
    <row r="56" spans="1:32" ht="17.25" customHeight="1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64"/>
      <c r="AF56" s="171"/>
    </row>
    <row r="57" spans="1:32" ht="17.25" customHeight="1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64"/>
      <c r="AF57" s="171"/>
    </row>
    <row r="58" spans="1:32" ht="17.25" customHeight="1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64"/>
      <c r="AF58" s="171"/>
    </row>
    <row r="59" spans="1:32" ht="17.25" customHeight="1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64"/>
      <c r="AF59" s="171"/>
    </row>
    <row r="60" spans="1:32" ht="17.25" customHeight="1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64"/>
      <c r="AF60" s="171"/>
    </row>
    <row r="61" spans="1:32" ht="17.25" customHeight="1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64"/>
      <c r="AF61" s="171"/>
    </row>
    <row r="62" spans="1:32" ht="17.25" customHeight="1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64"/>
      <c r="AF62" s="171"/>
    </row>
    <row r="63" spans="1:32" ht="17.25" customHeight="1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64"/>
      <c r="AF63" s="171"/>
    </row>
    <row r="64" spans="1:32" ht="17.25" customHeight="1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64"/>
      <c r="AF64" s="171"/>
    </row>
    <row r="65" spans="1:32" ht="17.25" customHeight="1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64"/>
      <c r="AF65" s="171"/>
    </row>
    <row r="66" spans="1:32" ht="17.25" customHeight="1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64"/>
      <c r="AF66" s="171"/>
    </row>
    <row r="67" spans="1:32" ht="17.25" customHeight="1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64"/>
      <c r="AF67" s="171"/>
    </row>
    <row r="68" spans="1:32" ht="17.25" customHeight="1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64"/>
      <c r="AF68" s="171"/>
    </row>
    <row r="69" spans="1:32" ht="17.25" customHeight="1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64"/>
      <c r="AF69" s="171"/>
    </row>
    <row r="70" spans="1:32" ht="17.25" customHeight="1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64"/>
      <c r="AF70" s="171"/>
    </row>
    <row r="71" spans="1:32" ht="17.25" customHeight="1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64"/>
      <c r="AF71" s="171"/>
    </row>
    <row r="72" spans="1:32" ht="17.25" customHeight="1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64"/>
      <c r="AF72" s="171"/>
    </row>
    <row r="73" spans="1:32" ht="17.25" customHeight="1">
      <c r="A73" s="171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64"/>
      <c r="AF73" s="171"/>
    </row>
    <row r="74" spans="1:32" ht="17.25" customHeight="1">
      <c r="A74" s="171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64"/>
      <c r="AF74" s="171"/>
    </row>
    <row r="75" spans="1:32" ht="17.25" customHeight="1">
      <c r="A75" s="171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64"/>
      <c r="AF75" s="171"/>
    </row>
    <row r="76" spans="1:32" ht="17.25" customHeight="1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64"/>
      <c r="AF76" s="171"/>
    </row>
    <row r="77" spans="1:32" ht="17.25" customHeight="1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64"/>
      <c r="AF77" s="171"/>
    </row>
    <row r="78" spans="1:32" ht="17.25" customHeight="1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64"/>
      <c r="AF78" s="171"/>
    </row>
    <row r="79" spans="1:32" ht="17.25" customHeight="1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64"/>
      <c r="AF79" s="171"/>
    </row>
    <row r="80" spans="1:32" ht="17.25" customHeight="1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64"/>
      <c r="AF80" s="171"/>
    </row>
    <row r="81" spans="1:32" ht="17.25" customHeight="1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64"/>
      <c r="AF81" s="171"/>
    </row>
    <row r="82" spans="1:32" ht="17.25" customHeight="1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64"/>
      <c r="AF82" s="171"/>
    </row>
    <row r="83" spans="1:32" ht="17.25" customHeight="1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64"/>
      <c r="AF83" s="171"/>
    </row>
    <row r="84" spans="1:32" ht="17.25" customHeight="1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64"/>
      <c r="AF84" s="171"/>
    </row>
    <row r="85" spans="1:32" ht="17.25" customHeight="1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64"/>
      <c r="AF85" s="171"/>
    </row>
    <row r="86" spans="1:32" ht="17.25" customHeight="1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64"/>
      <c r="AF86" s="171"/>
    </row>
    <row r="87" spans="1:32" ht="17.25" customHeight="1">
      <c r="A87" s="171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64"/>
      <c r="AF87" s="171"/>
    </row>
    <row r="88" spans="1:32" ht="17.25" customHeight="1">
      <c r="A88" s="171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64"/>
      <c r="AF88" s="171"/>
    </row>
    <row r="89" spans="1:32" ht="17.25" customHeight="1">
      <c r="A89" s="171"/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64"/>
      <c r="AF89" s="171"/>
    </row>
    <row r="90" spans="1:32" ht="17.25" customHeight="1">
      <c r="A90" s="171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64"/>
      <c r="AF90" s="171"/>
    </row>
    <row r="91" spans="1:32" ht="17.25" customHeight="1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64"/>
      <c r="AF91" s="171"/>
    </row>
    <row r="92" spans="1:32" ht="17.25" customHeight="1">
      <c r="A92" s="171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64"/>
      <c r="AF92" s="171"/>
    </row>
    <row r="93" spans="1:32" ht="17.25" customHeight="1">
      <c r="A93" s="171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64"/>
      <c r="AF93" s="171"/>
    </row>
    <row r="94" spans="1:32" ht="17.25" customHeight="1">
      <c r="A94" s="171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64"/>
      <c r="AF94" s="171"/>
    </row>
    <row r="95" spans="1:32" ht="17.25" customHeight="1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64"/>
      <c r="AF95" s="171"/>
    </row>
    <row r="96" spans="1:32" ht="17.25" customHeight="1">
      <c r="A96" s="171"/>
      <c r="B96" s="171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64"/>
      <c r="AF96" s="171"/>
    </row>
    <row r="97" spans="1:32" ht="17.25" customHeight="1">
      <c r="A97" s="171"/>
      <c r="B97" s="171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64"/>
      <c r="AF97" s="171"/>
    </row>
    <row r="98" spans="1:32" ht="17.25" customHeight="1">
      <c r="A98" s="171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64"/>
      <c r="AF98" s="171"/>
    </row>
    <row r="99" spans="1:32" ht="17.25" customHeight="1">
      <c r="A99" s="171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64"/>
      <c r="AF99" s="171"/>
    </row>
    <row r="100" spans="1:32" ht="17.25" customHeight="1">
      <c r="A100" s="171"/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64"/>
      <c r="AF100" s="171"/>
    </row>
  </sheetData>
  <mergeCells count="22">
    <mergeCell ref="Y3:Z3"/>
    <mergeCell ref="J2:L2"/>
    <mergeCell ref="J3:L3"/>
    <mergeCell ref="M2:Q2"/>
    <mergeCell ref="M3:Q3"/>
    <mergeCell ref="S3:X3"/>
    <mergeCell ref="C28:AC28"/>
    <mergeCell ref="AB20:AC20"/>
    <mergeCell ref="C27:Q27"/>
    <mergeCell ref="R27:AB27"/>
    <mergeCell ref="S2:X2"/>
    <mergeCell ref="Y2:Z2"/>
    <mergeCell ref="AB19:AC19"/>
    <mergeCell ref="AB21:AC21"/>
    <mergeCell ref="AB22:AC22"/>
    <mergeCell ref="AB23:AC23"/>
    <mergeCell ref="AB24:AC24"/>
    <mergeCell ref="AB25:AC25"/>
    <mergeCell ref="C26:Q26"/>
    <mergeCell ref="S26:AC26"/>
    <mergeCell ref="AA2:AC2"/>
    <mergeCell ref="AA3:AC3"/>
  </mergeCells>
  <conditionalFormatting sqref="C5:C16">
    <cfRule type="expression" dxfId="20" priority="1">
      <formula>C4&lt;&gt;C5</formula>
    </cfRule>
  </conditionalFormatting>
  <conditionalFormatting sqref="AB6:AC16">
    <cfRule type="expression" dxfId="19" priority="2">
      <formula>AB6&lt;&gt;AB5</formula>
    </cfRule>
  </conditionalFormatting>
  <printOptions horizontalCentered="1" verticalCentered="1"/>
  <pageMargins left="0.15748031496062992" right="0.15748031496062992" top="7.874015748031496E-2" bottom="7.874015748031496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507DF"/>
    <pageSetUpPr fitToPage="1"/>
  </sheetPr>
  <dimension ref="A1:Q10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4.42578125" defaultRowHeight="15" customHeight="1"/>
  <cols>
    <col min="1" max="1" width="0.42578125" customWidth="1"/>
    <col min="2" max="2" width="4.28515625" customWidth="1"/>
    <col min="3" max="3" width="3.7109375" customWidth="1"/>
    <col min="4" max="4" width="14.7109375" customWidth="1"/>
    <col min="5" max="5" width="21.28515625" customWidth="1"/>
    <col min="6" max="6" width="14.7109375" customWidth="1"/>
    <col min="7" max="7" width="15.7109375" customWidth="1"/>
    <col min="8" max="9" width="14.28515625" customWidth="1"/>
    <col min="10" max="10" width="2.42578125" customWidth="1"/>
    <col min="11" max="11" width="4.42578125" customWidth="1"/>
    <col min="12" max="12" width="16.7109375" customWidth="1"/>
    <col min="13" max="13" width="10.28515625" customWidth="1"/>
    <col min="14" max="14" width="2.42578125" customWidth="1"/>
    <col min="15" max="15" width="12.5703125" customWidth="1"/>
    <col min="16" max="17" width="9.140625" customWidth="1"/>
  </cols>
  <sheetData>
    <row r="1" spans="1:17" ht="3" customHeight="1">
      <c r="A1" s="1"/>
      <c r="B1" s="3"/>
      <c r="C1" s="1"/>
      <c r="D1" s="1"/>
      <c r="E1" s="1"/>
      <c r="F1" s="216"/>
      <c r="G1" s="1"/>
      <c r="H1" s="2"/>
      <c r="I1" s="2"/>
      <c r="J1" s="1"/>
      <c r="K1" s="1"/>
      <c r="L1" s="1"/>
      <c r="M1" s="1"/>
      <c r="N1" s="1"/>
      <c r="O1" s="1"/>
      <c r="P1" s="1"/>
      <c r="Q1" s="1"/>
    </row>
    <row r="2" spans="1:17" ht="15" customHeight="1">
      <c r="A2" s="1"/>
      <c r="B2" s="826" t="s">
        <v>186</v>
      </c>
      <c r="C2" s="707"/>
      <c r="D2" s="827"/>
      <c r="E2" s="838" t="s">
        <v>187</v>
      </c>
      <c r="F2" s="785"/>
      <c r="G2" s="217" t="str">
        <f>'ANNEXURE I'!B2&amp;" REGIME"</f>
        <v>NEW REGIME</v>
      </c>
      <c r="H2" s="831" t="s">
        <v>188</v>
      </c>
      <c r="I2" s="690"/>
      <c r="J2" s="1"/>
      <c r="K2" s="821" t="s">
        <v>189</v>
      </c>
      <c r="L2" s="665"/>
      <c r="M2" s="666"/>
      <c r="N2" s="1"/>
      <c r="O2" s="1"/>
      <c r="P2" s="1"/>
      <c r="Q2" s="1"/>
    </row>
    <row r="3" spans="1:17" ht="16.5" customHeight="1">
      <c r="A3" s="1"/>
      <c r="B3" s="828"/>
      <c r="C3" s="829"/>
      <c r="D3" s="830"/>
      <c r="E3" s="852" t="s">
        <v>190</v>
      </c>
      <c r="F3" s="845"/>
      <c r="G3" s="218" t="str">
        <f>"AGE : "&amp;AGE&amp; " Yrs"</f>
        <v>AGE : 40 Yrs</v>
      </c>
      <c r="H3" s="832"/>
      <c r="I3" s="833"/>
      <c r="J3" s="1"/>
      <c r="K3" s="219" t="s">
        <v>191</v>
      </c>
      <c r="L3" s="220" t="str">
        <f>"RENT "&amp;DATA!E12&amp;" x "&amp;DATA!E13&amp;" ="</f>
        <v>RENT 8300 x 12 =</v>
      </c>
      <c r="M3" s="221">
        <f>ROUND(DATA!E12*DATA!E13,0)</f>
        <v>99600</v>
      </c>
      <c r="N3" s="1"/>
      <c r="O3" s="822" t="str">
        <f>IF(M3&lt;0,"",CHOOSE(MID(TEXT(M3,"000000000.00"),1,1)+1,,,"Twenty ","Thirty ","Forty ","Fifty ","Sixty ","Seventy ","Eighty ","Ninety ")&amp;IF(--MID(TEXT(M3,"000000000.00"),1,1)&lt;&gt;1,CHOOSE(MID(TEXT(M3,"000000000.00"),2,1)+1,,"One ","Two ","Three ","Four ","Five ","Six ","Seven ","Eight ","Nine "),CHOOSE(MID(TEXT(M3,"000000000.00"),2,1)+1,"Ten ","Eleven ","Twelve ","Thirteen ","Fourteen ","Fifteen ","Sixteen ","Seventeen ","Eighteen ","Nineteen "))&amp;IF((--MID(TEXT(M3,"000000000.00"),1,1)+MID(TEXT(M3,"000000000.00"),1,1)+MID(TEXT(M3,"000000000.00"),2,1))=0,,"crore ")&amp;CHOOSE(MID(TEXT(M3,"000000000.00"),3,1)+1,,,"Twenty ","Thirty ","Forty ","Fifty ","Sixty ","Seventy ","Eighty ","Ninety ")&amp;IF(--MID(TEXT(M3,"000000000.00"),3,1)&lt;&gt;1,CHOOSE(MID(TEXT(M3,"000000000.00"),4,1)+1,,"One ","Two ","Three ","Four ","Five ","Six ","Seven ","Eight ","Nine "),CHOOSE(MID(TEXT(M3,"000000000.00"),4,1)+1,"Ten ","Eleven ","Twelve ","Thirteen ","Fourteen ","Fifteen ","Sixteen ","Seventeen ","Eighteen ","Nineteen "))&amp;IF((--MID(TEXT(M3,"000000000.00"),3,1)+MID(TEXT(M3,"000000000.00"),3,1)+MID(TEXT(M3,"000000000.00"),4,1))=0,"","lakh ")&amp;CHOOSE(MID(TEXT(M3,"000000000.00"),5,1)+1,,,"Twenty ","Thirty ","Forty ","Fifty ","Sixty ","Seventy ","Eighty ","Ninety ")&amp;IF(--MID(TEXT(M3,"000000000.00"),5,1)&lt;&gt;1,CHOOSE(MID(TEXT(M3,"000000000.00"),6,1)+1,,"One ","Two ","Three ","Four ","Five ","Six ","Seven ","Eight ","Nine "),CHOOSE(MID(TEXT(M3,"000000000.00"),6,1)+1,"Ten ","Eleven ","Twelve ","Thirteen ","Fourteen ","Fifteen ","Sixteen ","Seventeen ","Eighteen ","Nineteen "))&amp;IF((--MID(TEXT(M3,"000000000.00"),5,1)+MID(TEXT(M3,"000000000.00"),5,1)+MID(TEXT(M3,"000000000.00"),6,1))=0,"","Thousand ")&amp;CHOOSE(MID(TEXT(M3,"000000000.00"),7,1)+1,,"One ","Two ","Three ","Four ","Five ","Six ","Seven ","Eight ","Nine ")&amp;IF(--MID(TEXT(M3,"000000000.00"),7,1)=0,,IF(AND(--MID(TEXT(M3,"000000000.00"),8,1)=0,--MID(TEXT(M3,"000000000.00"),9,1)=0),"Hundred ","Hundred and "))&amp;CHOOSE(MID(TEXT(M3,"000000000.00"),8,1)+1,,,"Twenty ","Thirty ","Forty ","Fifty ","Sixty ","Seventy ","Eighty ","Ninety ")&amp;IF(--MID(TEXT(M3,"000000000.00"),8,1)&lt;&gt;1,CHOOSE(MID(TEXT(M3,"000000000.00"),9,1)+1,,"One ","Two ","Three ","Four ","Five ","Six ","Seven ","Eight ","Nine "),CHOOSE(MID(TEXT(M3,"000000000.00"),9,1)+1,"Ten ","Eleven ","Twelve ","Thirteen ","Fourteen ","Fifteen ","Sixteen ","Seventeen ","Eighteen ","Nineteen "))&amp;IF(M3&lt;0,"",IF(M3=0," Zero Rupees",IF(AND(M3&gt;0,M3&lt;1),"",IF(AND(M3&gt;=1,M3&lt;2),"Rupee ","Rupees ")))))</f>
        <v xml:space="preserve">Ninety Nine Thousand Six Hundred Rupees </v>
      </c>
      <c r="P3" s="703"/>
      <c r="Q3" s="703"/>
    </row>
    <row r="4" spans="1:17" ht="15" customHeight="1">
      <c r="A4" s="1"/>
      <c r="B4" s="222" t="s">
        <v>192</v>
      </c>
      <c r="C4" s="834" t="str">
        <f>'ANNEXURE I'!C2&amp;"  "&amp;'ANNEXURE I'!D2</f>
        <v xml:space="preserve">Sri.  PERUMALLA RAMANJANEYULU  </v>
      </c>
      <c r="D4" s="835"/>
      <c r="E4" s="836"/>
      <c r="F4" s="834" t="str">
        <f>LEFT('ANNEXURE I'!J3,4)&amp;".  :  "&amp;'ANNEXURE I'!M3</f>
        <v>Vill.  :  RAHIMANPURAM</v>
      </c>
      <c r="G4" s="836"/>
      <c r="H4" s="834" t="str">
        <f>'ANNEXURE I'!Y2&amp;"  "&amp;'ANNEXURE I'!AA2</f>
        <v>EMP. Tr ID :  0123456</v>
      </c>
      <c r="I4" s="837"/>
      <c r="J4" s="1"/>
      <c r="K4" s="219" t="s">
        <v>193</v>
      </c>
      <c r="L4" s="223" t="s">
        <v>194</v>
      </c>
      <c r="M4" s="221">
        <f>ROUND(('ANNEXURE I'!C25+'ANNEXURE I'!D25)*10%,0)</f>
        <v>107286</v>
      </c>
      <c r="N4" s="1"/>
      <c r="O4" s="703"/>
      <c r="P4" s="703"/>
      <c r="Q4" s="703"/>
    </row>
    <row r="5" spans="1:17" ht="15" customHeight="1">
      <c r="A5" s="1"/>
      <c r="B5" s="224" t="s">
        <v>192</v>
      </c>
      <c r="C5" s="823" t="str">
        <f>'ANNEXURE I'!C3&amp;"  "&amp;'ANNEXURE I'!D3</f>
        <v xml:space="preserve">SECONDARY GRADE TEACHER  </v>
      </c>
      <c r="D5" s="854"/>
      <c r="E5" s="824"/>
      <c r="F5" s="823" t="str">
        <f>'ANNEXURE I'!R2&amp;"  "&amp;'ANNEXURE I'!S2</f>
        <v>Mdl :  BETHAMCHERLA</v>
      </c>
      <c r="G5" s="824"/>
      <c r="H5" s="823" t="str">
        <f>'ANNEXURE I'!Y3&amp;"  "&amp;'ANNEXURE I'!AA3</f>
        <v>EMP. PAN :  MYPAN1234S</v>
      </c>
      <c r="I5" s="825"/>
      <c r="J5" s="1"/>
      <c r="K5" s="225"/>
      <c r="L5" s="226" t="s">
        <v>195</v>
      </c>
      <c r="M5" s="221">
        <f>IF(M3=0,0,IF(M3&lt;M4,0,(M3-M4)))</f>
        <v>0</v>
      </c>
      <c r="N5" s="1"/>
      <c r="O5" s="703"/>
      <c r="P5" s="703"/>
      <c r="Q5" s="703"/>
    </row>
    <row r="6" spans="1:17" ht="15" customHeight="1">
      <c r="A6" s="1"/>
      <c r="B6" s="227" t="s">
        <v>192</v>
      </c>
      <c r="C6" s="843" t="str">
        <f>'ANNEXURE I'!J2&amp;"  "&amp;'ANNEXURE I'!M2</f>
        <v>OFFICE :  M.P.P.SCHOOL</v>
      </c>
      <c r="D6" s="844"/>
      <c r="E6" s="845"/>
      <c r="F6" s="843" t="str">
        <f>'ANNEXURE I'!R3&amp;"  "&amp;'ANNEXURE I'!S3</f>
        <v>Dist :  NANDYAL</v>
      </c>
      <c r="G6" s="845"/>
      <c r="H6" s="843" t="str">
        <f>"EMP. P.F.   : "&amp;UPPER(DATA!D5)&amp;" EMPLOYEE"</f>
        <v>EMP. P.F.   : GPF EMPLOYEE</v>
      </c>
      <c r="I6" s="851"/>
      <c r="J6" s="1"/>
      <c r="K6" s="839" t="s">
        <v>196</v>
      </c>
      <c r="L6" s="665"/>
      <c r="M6" s="666"/>
      <c r="N6" s="1"/>
      <c r="O6" s="1"/>
      <c r="P6" s="1"/>
      <c r="Q6" s="1"/>
    </row>
    <row r="7" spans="1:17" ht="13.5" customHeight="1">
      <c r="A7" s="1"/>
      <c r="B7" s="228">
        <v>1</v>
      </c>
      <c r="C7" s="846" t="s">
        <v>197</v>
      </c>
      <c r="D7" s="751"/>
      <c r="E7" s="840" t="str">
        <f>IF(AND(DATA!D5="CPS",DATA!J21="YES"),"Including Employer's Contribution towards NPS : "&amp;'ANNEXURE I'!P25&amp;" + "&amp;'ANNEXURE I'!Q25&amp;" =","")</f>
        <v/>
      </c>
      <c r="F7" s="751"/>
      <c r="G7" s="700"/>
      <c r="H7" s="229">
        <f>IF(AND(DATA!D5="CPS",DATA!J21="YES"),'ANNEXURE I'!P25+'ANNEXURE I'!Q25,'ANNEXURE I'!P25)</f>
        <v>1155841</v>
      </c>
      <c r="I7" s="230">
        <f>H7</f>
        <v>1155841</v>
      </c>
      <c r="J7" s="1"/>
      <c r="K7" s="231" t="s">
        <v>198</v>
      </c>
      <c r="L7" s="223" t="s">
        <v>199</v>
      </c>
      <c r="M7" s="221">
        <f>'ANNEXURE I'!E25+'ANNEXURE I'!H25</f>
        <v>81177</v>
      </c>
      <c r="N7" s="1"/>
      <c r="O7" s="1"/>
      <c r="P7" s="1"/>
      <c r="Q7" s="1"/>
    </row>
    <row r="8" spans="1:17" ht="13.5" customHeight="1">
      <c r="A8" s="1"/>
      <c r="B8" s="232">
        <v>2</v>
      </c>
      <c r="C8" s="820" t="s">
        <v>200</v>
      </c>
      <c r="D8" s="665"/>
      <c r="E8" s="665"/>
      <c r="F8" s="234" t="str">
        <f t="shared" ref="F8:G8" si="0">L3</f>
        <v>RENT 8300 x 12 =</v>
      </c>
      <c r="G8" s="235">
        <f t="shared" si="0"/>
        <v>99600</v>
      </c>
      <c r="H8" s="236"/>
      <c r="I8" s="145"/>
      <c r="J8" s="1"/>
      <c r="K8" s="231" t="s">
        <v>201</v>
      </c>
      <c r="L8" s="237" t="s">
        <v>195</v>
      </c>
      <c r="M8" s="221">
        <f>M5</f>
        <v>0</v>
      </c>
      <c r="N8" s="1"/>
      <c r="O8" s="238"/>
      <c r="P8" s="1"/>
      <c r="Q8" s="1"/>
    </row>
    <row r="9" spans="1:17" ht="13.5" customHeight="1">
      <c r="A9" s="1"/>
      <c r="B9" s="232"/>
      <c r="C9" s="239" t="s">
        <v>202</v>
      </c>
      <c r="D9" s="240" t="s">
        <v>203</v>
      </c>
      <c r="E9" s="240"/>
      <c r="F9" s="241" t="str">
        <f t="shared" ref="F9:G9" si="1">L4</f>
        <v>(BP+DA) x 10% =</v>
      </c>
      <c r="G9" s="235">
        <f t="shared" si="1"/>
        <v>107286</v>
      </c>
      <c r="H9" s="236">
        <f>IF(KEY!$AY$29="NEW",0,'ANNEXURE II'!M7)</f>
        <v>0</v>
      </c>
      <c r="I9" s="145"/>
      <c r="J9" s="1"/>
      <c r="K9" s="231" t="s">
        <v>204</v>
      </c>
      <c r="L9" s="223" t="s">
        <v>205</v>
      </c>
      <c r="M9" s="221">
        <f>ROUND(('ANNEXURE I'!C25+'ANNEXURE I'!D25)*40%,0)</f>
        <v>429146</v>
      </c>
      <c r="N9" s="1"/>
      <c r="O9" s="1"/>
      <c r="P9" s="1"/>
      <c r="Q9" s="1"/>
    </row>
    <row r="10" spans="1:17" ht="13.5" customHeight="1">
      <c r="A10" s="1"/>
      <c r="B10" s="232"/>
      <c r="C10" s="239" t="s">
        <v>206</v>
      </c>
      <c r="D10" s="804" t="str">
        <f>IF(M5=0,"Rent paid (Minus) 10% of  SALARY",CONCATENATE("Rent paid (Minus) 10% of  SALARY (=BP+DA)"))</f>
        <v>Rent paid (Minus) 10% of  SALARY</v>
      </c>
      <c r="E10" s="665"/>
      <c r="F10" s="234" t="s">
        <v>207</v>
      </c>
      <c r="G10" s="235">
        <f>M5</f>
        <v>0</v>
      </c>
      <c r="H10" s="236">
        <f>IF(KEY!$AY$29="NEW",0,M5)</f>
        <v>0</v>
      </c>
      <c r="I10" s="145"/>
      <c r="J10" s="1"/>
      <c r="K10" s="848" t="s">
        <v>208</v>
      </c>
      <c r="L10" s="666"/>
      <c r="M10" s="221">
        <f>MIN(M7:M9)</f>
        <v>0</v>
      </c>
      <c r="N10" s="1"/>
      <c r="O10" s="1"/>
      <c r="P10" s="1"/>
      <c r="Q10" s="1"/>
    </row>
    <row r="11" spans="1:17" ht="13.5" customHeight="1">
      <c r="A11" s="1"/>
      <c r="B11" s="228"/>
      <c r="C11" s="239" t="s">
        <v>209</v>
      </c>
      <c r="D11" s="243" t="s">
        <v>210</v>
      </c>
      <c r="E11" s="243"/>
      <c r="F11" s="853" t="str">
        <f>IF(OR(DATA!E12="",DATA!E12=0),"LIVING IN : OWN HOUSE","LIVING IN : RENTED HOUSE")</f>
        <v>LIVING IN : RENTED HOUSE</v>
      </c>
      <c r="G11" s="666"/>
      <c r="H11" s="244">
        <f>IF(KEY!$AY$29="NEW",0,M9)</f>
        <v>0</v>
      </c>
      <c r="I11" s="145">
        <f>KEY!AU29</f>
        <v>0</v>
      </c>
      <c r="J11" s="1"/>
      <c r="K11" s="849" t="s">
        <v>211</v>
      </c>
      <c r="L11" s="665"/>
      <c r="M11" s="245" t="s">
        <v>212</v>
      </c>
      <c r="N11" s="1"/>
      <c r="O11" s="1"/>
      <c r="P11" s="1"/>
      <c r="Q11" s="1"/>
    </row>
    <row r="12" spans="1:17" ht="13.5" customHeight="1">
      <c r="A12" s="1"/>
      <c r="B12" s="232">
        <v>3</v>
      </c>
      <c r="C12" s="847" t="s">
        <v>213</v>
      </c>
      <c r="D12" s="665"/>
      <c r="E12" s="665"/>
      <c r="F12" s="246" t="s">
        <v>214</v>
      </c>
      <c r="G12" s="247"/>
      <c r="H12" s="244"/>
      <c r="I12" s="248">
        <f>I7-I11</f>
        <v>1155841</v>
      </c>
      <c r="J12" s="1"/>
      <c r="K12" s="1"/>
      <c r="L12" s="1"/>
      <c r="M12" s="1"/>
      <c r="N12" s="1"/>
      <c r="O12" s="1"/>
      <c r="P12" s="1"/>
      <c r="Q12" s="1"/>
    </row>
    <row r="13" spans="1:17" ht="13.5" customHeight="1">
      <c r="A13" s="1"/>
      <c r="B13" s="232">
        <v>4</v>
      </c>
      <c r="C13" s="814" t="s">
        <v>215</v>
      </c>
      <c r="D13" s="665"/>
      <c r="E13" s="665"/>
      <c r="F13" s="240"/>
      <c r="G13" s="240"/>
      <c r="H13" s="244"/>
      <c r="I13" s="145"/>
      <c r="J13" s="1"/>
      <c r="K13" s="1"/>
      <c r="L13" s="1"/>
      <c r="M13" s="1"/>
      <c r="N13" s="1"/>
      <c r="O13" s="1"/>
      <c r="P13" s="1"/>
      <c r="Q13" s="1"/>
    </row>
    <row r="14" spans="1:17" ht="13.5" customHeight="1">
      <c r="A14" s="1"/>
      <c r="B14" s="228"/>
      <c r="C14" s="239" t="s">
        <v>202</v>
      </c>
      <c r="D14" s="240" t="s">
        <v>216</v>
      </c>
      <c r="E14" s="240"/>
      <c r="F14" s="804" t="s">
        <v>217</v>
      </c>
      <c r="G14" s="666"/>
      <c r="H14" s="244">
        <f>KEY!AU30</f>
        <v>0</v>
      </c>
      <c r="I14" s="145"/>
      <c r="J14" s="1"/>
      <c r="K14" s="1"/>
      <c r="L14" s="1"/>
      <c r="M14" s="1"/>
      <c r="N14" s="1"/>
      <c r="O14" s="1"/>
      <c r="P14" s="1"/>
      <c r="Q14" s="1"/>
    </row>
    <row r="15" spans="1:17" ht="13.5" customHeight="1">
      <c r="A15" s="1"/>
      <c r="B15" s="228"/>
      <c r="C15" s="249" t="s">
        <v>206</v>
      </c>
      <c r="D15" s="240" t="s">
        <v>218</v>
      </c>
      <c r="E15" s="240"/>
      <c r="F15" s="250" t="s">
        <v>219</v>
      </c>
      <c r="G15" s="251" t="s">
        <v>220</v>
      </c>
      <c r="H15" s="244">
        <f>IF('ANNEXURE I'!B2="OLD",KEY!AU31,KEY!AU32)</f>
        <v>75000</v>
      </c>
      <c r="I15" s="145"/>
      <c r="J15" s="1"/>
      <c r="K15" s="1"/>
      <c r="L15" s="1"/>
      <c r="M15" s="1"/>
      <c r="N15" s="1"/>
      <c r="O15" s="1"/>
      <c r="P15" s="1"/>
      <c r="Q15" s="1"/>
    </row>
    <row r="16" spans="1:17" ht="13.5" customHeight="1">
      <c r="A16" s="1"/>
      <c r="B16" s="228"/>
      <c r="C16" s="249" t="s">
        <v>206</v>
      </c>
      <c r="D16" s="804" t="s">
        <v>221</v>
      </c>
      <c r="E16" s="665"/>
      <c r="F16" s="240"/>
      <c r="G16" s="240"/>
      <c r="H16" s="244">
        <f>KEY!AU33</f>
        <v>0</v>
      </c>
      <c r="I16" s="145">
        <f>SUM(H14:H16)</f>
        <v>75000</v>
      </c>
      <c r="J16" s="1"/>
      <c r="K16" s="1"/>
      <c r="L16" s="1"/>
      <c r="M16" s="1"/>
      <c r="N16" s="1"/>
      <c r="O16" s="1"/>
      <c r="P16" s="1"/>
      <c r="Q16" s="1"/>
    </row>
    <row r="17" spans="1:17" ht="13.5" customHeight="1">
      <c r="A17" s="1"/>
      <c r="B17" s="228">
        <v>5</v>
      </c>
      <c r="C17" s="847" t="s">
        <v>222</v>
      </c>
      <c r="D17" s="665"/>
      <c r="E17" s="665"/>
      <c r="F17" s="246" t="s">
        <v>223</v>
      </c>
      <c r="G17" s="247"/>
      <c r="H17" s="244"/>
      <c r="I17" s="248">
        <f>I12-I16</f>
        <v>1080841</v>
      </c>
      <c r="J17" s="1"/>
      <c r="K17" s="850" t="s">
        <v>224</v>
      </c>
      <c r="L17" s="666"/>
      <c r="M17" s="252">
        <f>IF(C19="INCOME FROM FAMILY PENSION",DATA!J28,0)</f>
        <v>0</v>
      </c>
      <c r="N17" s="1"/>
      <c r="O17" s="253"/>
      <c r="P17" s="1"/>
      <c r="Q17" s="1"/>
    </row>
    <row r="18" spans="1:17" ht="13.5" customHeight="1">
      <c r="A18" s="1"/>
      <c r="B18" s="228">
        <v>6</v>
      </c>
      <c r="C18" s="804" t="s">
        <v>95</v>
      </c>
      <c r="D18" s="665"/>
      <c r="E18" s="665"/>
      <c r="F18" s="240" t="s">
        <v>182</v>
      </c>
      <c r="G18" s="240"/>
      <c r="H18" s="244">
        <f>DATA!J27</f>
        <v>0</v>
      </c>
      <c r="I18" s="145"/>
      <c r="J18" s="1"/>
      <c r="K18" s="850" t="str">
        <f>"Exemption : "&amp;M17&amp;"/3="</f>
        <v>Exemption : 0/3=</v>
      </c>
      <c r="L18" s="666"/>
      <c r="M18" s="252">
        <f>MIN(15000,ROUND(M17/3,0))</f>
        <v>0</v>
      </c>
      <c r="N18" s="1"/>
      <c r="O18" s="1"/>
      <c r="P18" s="1"/>
      <c r="Q18" s="1"/>
    </row>
    <row r="19" spans="1:17" ht="13.5" customHeight="1">
      <c r="A19" s="1"/>
      <c r="B19" s="228">
        <v>7</v>
      </c>
      <c r="C19" s="804" t="str">
        <f>IF(DATA!G28="","INCOME FROM CAPITAL GAINS",DATA!G28)</f>
        <v>INCOME FROM FAMILY PENSION</v>
      </c>
      <c r="D19" s="665"/>
      <c r="E19" s="665"/>
      <c r="F19" s="804" t="str">
        <f>IF(C19="INCOME FROM FAMILY PENSION",CONCATENATE(M17," - ","(",M17,"/3)="&amp;M17&amp;"-"&amp;M18&amp;"=",M17-MIN(15000,ROUND(M17/3,0))),"")</f>
        <v>0 - (0/3)=0-0=0</v>
      </c>
      <c r="G19" s="666"/>
      <c r="H19" s="244">
        <f>IF(C19="INCOME FROM FAMILY PENSION",M19,DATA!J28)</f>
        <v>0</v>
      </c>
      <c r="I19" s="145"/>
      <c r="J19" s="1"/>
      <c r="K19" s="841" t="s">
        <v>225</v>
      </c>
      <c r="L19" s="666"/>
      <c r="M19" s="254">
        <f>M17-M18</f>
        <v>0</v>
      </c>
      <c r="N19" s="1"/>
      <c r="O19" s="1"/>
      <c r="P19" s="1"/>
      <c r="Q19" s="1"/>
    </row>
    <row r="20" spans="1:17" ht="13.5" customHeight="1">
      <c r="A20" s="1"/>
      <c r="B20" s="228">
        <v>8</v>
      </c>
      <c r="C20" s="804" t="s">
        <v>226</v>
      </c>
      <c r="D20" s="665"/>
      <c r="E20" s="665"/>
      <c r="F20" s="240" t="s">
        <v>182</v>
      </c>
      <c r="G20" s="240"/>
      <c r="H20" s="244">
        <f>DATA!J29</f>
        <v>0</v>
      </c>
      <c r="I20" s="145">
        <f>SUM(H18:H20)</f>
        <v>0</v>
      </c>
      <c r="J20" s="1"/>
      <c r="K20" s="842" t="s">
        <v>227</v>
      </c>
      <c r="L20" s="665"/>
      <c r="M20" s="666"/>
      <c r="N20" s="1"/>
      <c r="O20" s="1"/>
      <c r="P20" s="1"/>
      <c r="Q20" s="1"/>
    </row>
    <row r="21" spans="1:17" ht="13.5" customHeight="1">
      <c r="A21" s="1"/>
      <c r="B21" s="228">
        <v>9</v>
      </c>
      <c r="C21" s="856" t="s">
        <v>228</v>
      </c>
      <c r="D21" s="665"/>
      <c r="E21" s="665"/>
      <c r="F21" s="246" t="s">
        <v>229</v>
      </c>
      <c r="G21" s="247"/>
      <c r="H21" s="244"/>
      <c r="I21" s="248">
        <f>SUM(I17,I20)</f>
        <v>1080841</v>
      </c>
      <c r="J21" s="1"/>
      <c r="K21" s="1"/>
      <c r="L21" s="1"/>
      <c r="M21" s="1"/>
      <c r="N21" s="1"/>
      <c r="O21" s="1"/>
      <c r="P21" s="1"/>
      <c r="Q21" s="1"/>
    </row>
    <row r="22" spans="1:17" ht="13.5" customHeight="1">
      <c r="A22" s="1"/>
      <c r="B22" s="228">
        <v>10</v>
      </c>
      <c r="C22" s="847" t="s">
        <v>230</v>
      </c>
      <c r="D22" s="665"/>
      <c r="E22" s="665"/>
      <c r="F22" s="864"/>
      <c r="G22" s="672"/>
      <c r="H22" s="244"/>
      <c r="I22" s="145"/>
      <c r="J22" s="1"/>
      <c r="K22" s="1"/>
      <c r="L22" s="1"/>
      <c r="M22" s="1"/>
      <c r="N22" s="1"/>
      <c r="O22" s="1"/>
      <c r="P22" s="1"/>
      <c r="Q22" s="1"/>
    </row>
    <row r="23" spans="1:17" ht="13.5" customHeight="1">
      <c r="A23" s="1"/>
      <c r="B23" s="228"/>
      <c r="C23" s="239" t="s">
        <v>202</v>
      </c>
      <c r="D23" s="808" t="str">
        <f>"GPF_CPS  :   A/c No. :  "&amp;DATA!M34</f>
        <v>GPF_CPS  :   A/c No. :  9963535304</v>
      </c>
      <c r="E23" s="665"/>
      <c r="F23" s="808" t="s">
        <v>231</v>
      </c>
      <c r="G23" s="666"/>
      <c r="H23" s="236">
        <f>KEY!AU3</f>
        <v>0</v>
      </c>
      <c r="I23" s="145"/>
      <c r="J23" s="1"/>
      <c r="K23" s="1"/>
      <c r="L23" s="1"/>
      <c r="M23" s="1"/>
      <c r="N23" s="1"/>
      <c r="O23" s="1"/>
      <c r="P23" s="1"/>
      <c r="Q23" s="1"/>
    </row>
    <row r="24" spans="1:17" ht="13.5" customHeight="1">
      <c r="A24" s="1"/>
      <c r="B24" s="228"/>
      <c r="C24" s="239" t="s">
        <v>206</v>
      </c>
      <c r="D24" s="808" t="str">
        <f>"A.P.G.L.I.  :   A/c No. :  "&amp;DATA!M33</f>
        <v>A.P.G.L.I.  :   A/c No. :  L-123456</v>
      </c>
      <c r="E24" s="665"/>
      <c r="F24" s="808" t="s">
        <v>231</v>
      </c>
      <c r="G24" s="666"/>
      <c r="H24" s="236">
        <f>KEY!AU4</f>
        <v>0</v>
      </c>
      <c r="I24" s="145"/>
      <c r="J24" s="1"/>
      <c r="K24" s="1"/>
      <c r="L24" s="1"/>
      <c r="M24" s="1"/>
      <c r="N24" s="1"/>
      <c r="O24" s="1"/>
      <c r="P24" s="1"/>
      <c r="Q24" s="1"/>
    </row>
    <row r="25" spans="1:17" ht="13.5" customHeight="1">
      <c r="A25" s="1"/>
      <c r="B25" s="228"/>
      <c r="C25" s="239" t="s">
        <v>209</v>
      </c>
      <c r="D25" s="808" t="s">
        <v>232</v>
      </c>
      <c r="E25" s="665"/>
      <c r="F25" s="808" t="s">
        <v>231</v>
      </c>
      <c r="G25" s="666"/>
      <c r="H25" s="236">
        <f>KEY!AU5</f>
        <v>0</v>
      </c>
      <c r="I25" s="145"/>
      <c r="J25" s="1"/>
      <c r="K25" s="1"/>
      <c r="L25" s="1"/>
      <c r="M25" s="1"/>
      <c r="N25" s="1"/>
      <c r="O25" s="1"/>
      <c r="P25" s="1"/>
      <c r="Q25" s="1"/>
    </row>
    <row r="26" spans="1:17" ht="13.5" customHeight="1">
      <c r="A26" s="1"/>
      <c r="B26" s="228"/>
      <c r="C26" s="239" t="s">
        <v>233</v>
      </c>
      <c r="D26" s="808" t="str">
        <f>IF(AND(DATA!J3&gt;0,DATA!C35&gt;0),"L.I.C.  (From Salary Deduction &amp; paid by Hand)",  IF(AND(DATA!J3=0,DATA!C35&gt;0),"L.I.C. PREMIUMS (From Salary Deduction)","L.I.C. PREMIUMS (Paid by Hand)"))</f>
        <v>L.I.C. PREMIUMS (Paid by Hand)</v>
      </c>
      <c r="E26" s="665"/>
      <c r="F26" s="665"/>
      <c r="G26" s="666"/>
      <c r="H26" s="236">
        <f>KEY!AU6</f>
        <v>0</v>
      </c>
      <c r="I26" s="145"/>
      <c r="J26" s="1"/>
      <c r="K26" s="1"/>
      <c r="L26" s="1"/>
      <c r="M26" s="1"/>
      <c r="N26" s="1"/>
      <c r="O26" s="1"/>
      <c r="P26" s="1"/>
      <c r="Q26" s="1"/>
    </row>
    <row r="27" spans="1:17" ht="13.5" customHeight="1">
      <c r="A27" s="1"/>
      <c r="B27" s="228"/>
      <c r="C27" s="239" t="s">
        <v>234</v>
      </c>
      <c r="D27" s="808" t="s">
        <v>235</v>
      </c>
      <c r="E27" s="665"/>
      <c r="F27" s="256"/>
      <c r="G27" s="257"/>
      <c r="H27" s="236">
        <f>KEY!AU7</f>
        <v>0</v>
      </c>
      <c r="I27" s="145"/>
      <c r="J27" s="1"/>
      <c r="K27" s="1"/>
      <c r="L27" s="1"/>
      <c r="M27" s="1"/>
      <c r="N27" s="1"/>
      <c r="O27" s="1"/>
      <c r="P27" s="1"/>
      <c r="Q27" s="1"/>
    </row>
    <row r="28" spans="1:17" ht="13.5" customHeight="1">
      <c r="A28" s="1"/>
      <c r="B28" s="228"/>
      <c r="C28" s="249" t="s">
        <v>236</v>
      </c>
      <c r="D28" s="808" t="s">
        <v>16</v>
      </c>
      <c r="E28" s="665"/>
      <c r="F28" s="256"/>
      <c r="G28" s="257"/>
      <c r="H28" s="236">
        <f>KEY!AU8</f>
        <v>0</v>
      </c>
      <c r="I28" s="145"/>
      <c r="J28" s="1"/>
      <c r="K28" s="1"/>
      <c r="L28" s="1"/>
      <c r="M28" s="1"/>
      <c r="N28" s="1"/>
      <c r="O28" s="1"/>
      <c r="P28" s="1"/>
      <c r="Q28" s="1"/>
    </row>
    <row r="29" spans="1:17" ht="13.5" customHeight="1">
      <c r="A29" s="1"/>
      <c r="B29" s="228"/>
      <c r="C29" s="239" t="s">
        <v>237</v>
      </c>
      <c r="D29" s="808" t="s">
        <v>238</v>
      </c>
      <c r="E29" s="665"/>
      <c r="F29" s="256"/>
      <c r="G29" s="257"/>
      <c r="H29" s="236">
        <f>KEY!AU9</f>
        <v>0</v>
      </c>
      <c r="I29" s="145"/>
      <c r="J29" s="1"/>
      <c r="K29" s="1"/>
      <c r="L29" s="1"/>
      <c r="M29" s="1"/>
      <c r="N29" s="1"/>
      <c r="O29" s="1"/>
      <c r="P29" s="1"/>
      <c r="Q29" s="1"/>
    </row>
    <row r="30" spans="1:17" ht="13.5" customHeight="1">
      <c r="A30" s="1"/>
      <c r="B30" s="228"/>
      <c r="C30" s="239" t="s">
        <v>239</v>
      </c>
      <c r="D30" s="808" t="s">
        <v>24</v>
      </c>
      <c r="E30" s="665"/>
      <c r="F30" s="256"/>
      <c r="G30" s="257"/>
      <c r="H30" s="236">
        <f>KEY!AU10</f>
        <v>0</v>
      </c>
      <c r="I30" s="145"/>
      <c r="J30" s="1"/>
      <c r="K30" s="1"/>
      <c r="L30" s="1"/>
      <c r="M30" s="1"/>
      <c r="N30" s="1"/>
      <c r="O30" s="1"/>
      <c r="P30" s="1"/>
      <c r="Q30" s="1"/>
    </row>
    <row r="31" spans="1:17" ht="13.5" customHeight="1">
      <c r="A31" s="1"/>
      <c r="B31" s="228"/>
      <c r="C31" s="239" t="s">
        <v>240</v>
      </c>
      <c r="D31" s="808" t="s">
        <v>27</v>
      </c>
      <c r="E31" s="665"/>
      <c r="F31" s="256"/>
      <c r="G31" s="257"/>
      <c r="H31" s="236">
        <f>KEY!AU11</f>
        <v>0</v>
      </c>
      <c r="I31" s="145"/>
      <c r="J31" s="1"/>
      <c r="K31" s="1"/>
      <c r="L31" s="1"/>
      <c r="M31" s="1"/>
      <c r="N31" s="1"/>
      <c r="O31" s="1"/>
      <c r="P31" s="1"/>
      <c r="Q31" s="1"/>
    </row>
    <row r="32" spans="1:17" ht="13.5" customHeight="1">
      <c r="A32" s="1"/>
      <c r="B32" s="228"/>
      <c r="C32" s="239" t="s">
        <v>241</v>
      </c>
      <c r="D32" s="808" t="s">
        <v>30</v>
      </c>
      <c r="E32" s="665"/>
      <c r="F32" s="256"/>
      <c r="G32" s="257"/>
      <c r="H32" s="236">
        <f>KEY!AU12</f>
        <v>0</v>
      </c>
      <c r="I32" s="145"/>
      <c r="J32" s="1"/>
      <c r="K32" s="1"/>
      <c r="L32" s="1"/>
      <c r="M32" s="1"/>
      <c r="N32" s="1"/>
      <c r="O32" s="1"/>
      <c r="P32" s="1"/>
      <c r="Q32" s="1"/>
    </row>
    <row r="33" spans="1:17" ht="13.5" customHeight="1">
      <c r="A33" s="1"/>
      <c r="B33" s="228"/>
      <c r="C33" s="239" t="s">
        <v>242</v>
      </c>
      <c r="D33" s="808" t="str">
        <f>IF(DATA!G10="","ATAL PENSION YOJANA",DATA!G10)</f>
        <v xml:space="preserve">STAMP DUTY &amp; REGISTRATION </v>
      </c>
      <c r="E33" s="665"/>
      <c r="F33" s="256"/>
      <c r="G33" s="257"/>
      <c r="H33" s="236">
        <f>KEY!AU13</f>
        <v>0</v>
      </c>
      <c r="I33" s="145"/>
      <c r="J33" s="1"/>
      <c r="K33" s="1"/>
      <c r="L33" s="1"/>
      <c r="M33" s="1"/>
      <c r="N33" s="1"/>
      <c r="O33" s="1"/>
      <c r="P33" s="1"/>
      <c r="Q33" s="1"/>
    </row>
    <row r="34" spans="1:17" ht="13.5" customHeight="1">
      <c r="A34" s="1"/>
      <c r="B34" s="228"/>
      <c r="C34" s="239" t="s">
        <v>243</v>
      </c>
      <c r="D34" s="808" t="str">
        <f>IF(DATA!G11="","MUTUAL FUNDS ",DATA!G11)</f>
        <v>HDFC LIFE INSURANCE</v>
      </c>
      <c r="E34" s="665"/>
      <c r="F34" s="256"/>
      <c r="G34" s="257"/>
      <c r="H34" s="236">
        <f>KEY!AU14</f>
        <v>0</v>
      </c>
      <c r="I34" s="145"/>
      <c r="J34" s="1"/>
      <c r="K34" s="258">
        <f>IF(AND(DATA!D5="CPS",DATA!J14="YES"),1,0)</f>
        <v>0</v>
      </c>
      <c r="L34" s="259" t="s">
        <v>244</v>
      </c>
      <c r="M34" s="260"/>
      <c r="N34" s="1"/>
      <c r="O34" s="1"/>
      <c r="P34" s="1"/>
      <c r="Q34" s="1"/>
    </row>
    <row r="35" spans="1:17" ht="13.5" customHeight="1">
      <c r="A35" s="1"/>
      <c r="B35" s="228"/>
      <c r="C35" s="239" t="s">
        <v>245</v>
      </c>
      <c r="D35" s="808" t="str">
        <f>IF(DATA!G12="","5 Yrs Fixed Deposits ( Bank / Postal )",DATA!G12)</f>
        <v>OTHERS_________________</v>
      </c>
      <c r="E35" s="665"/>
      <c r="F35" s="256"/>
      <c r="G35" s="257"/>
      <c r="H35" s="236">
        <f>KEY!AU15</f>
        <v>0</v>
      </c>
      <c r="I35" s="145"/>
      <c r="J35" s="1"/>
      <c r="K35" s="855" t="str">
        <f>IF(AND(DATA!D5="CPS",DATA!J14="YES"),"CPS DEDUCTION  =","")</f>
        <v/>
      </c>
      <c r="L35" s="666"/>
      <c r="M35" s="261">
        <f>KEY!AO3</f>
        <v>120000</v>
      </c>
      <c r="N35" s="1"/>
      <c r="O35" s="1"/>
      <c r="P35" s="1"/>
      <c r="Q35" s="1"/>
    </row>
    <row r="36" spans="1:17" ht="13.5" customHeight="1">
      <c r="A36" s="1"/>
      <c r="B36" s="228"/>
      <c r="C36" s="814" t="s">
        <v>246</v>
      </c>
      <c r="D36" s="665"/>
      <c r="E36" s="665"/>
      <c r="F36" s="805" t="s">
        <v>247</v>
      </c>
      <c r="G36" s="666"/>
      <c r="H36" s="244">
        <f>SUM(H23:H35)</f>
        <v>0</v>
      </c>
      <c r="I36" s="248">
        <f>MIN(H36,150000)</f>
        <v>0</v>
      </c>
      <c r="J36" s="1"/>
      <c r="K36" s="806" t="str">
        <f>IF(AND(DATA!D5="CPS",DATA!J14="YES"),"80CCD (1)      =","")</f>
        <v/>
      </c>
      <c r="L36" s="666"/>
      <c r="M36" s="262">
        <f>KEY!AU3</f>
        <v>0</v>
      </c>
      <c r="N36" s="1"/>
      <c r="O36" s="1"/>
      <c r="P36" s="1"/>
      <c r="Q36" s="1"/>
    </row>
    <row r="37" spans="1:17" ht="13.5" customHeight="1">
      <c r="A37" s="1"/>
      <c r="B37" s="228">
        <v>11</v>
      </c>
      <c r="C37" s="808" t="s">
        <v>248</v>
      </c>
      <c r="D37" s="665"/>
      <c r="E37" s="665"/>
      <c r="F37" s="805" t="s">
        <v>249</v>
      </c>
      <c r="G37" s="666"/>
      <c r="H37" s="244">
        <f>KEY!AU17</f>
        <v>0</v>
      </c>
      <c r="I37" s="248">
        <f>IF(H37&gt;0,MIN(H37,50000),0)</f>
        <v>0</v>
      </c>
      <c r="J37" s="1"/>
      <c r="K37" s="806" t="str">
        <f>IF(AND(DATA!D5="CPS",DATA!J14="YES"),"80CCD (1)(B) =","")</f>
        <v/>
      </c>
      <c r="L37" s="666"/>
      <c r="M37" s="262">
        <f>KEY!AU17</f>
        <v>0</v>
      </c>
      <c r="N37" s="1"/>
      <c r="O37" s="1"/>
      <c r="P37" s="1"/>
      <c r="Q37" s="1"/>
    </row>
    <row r="38" spans="1:17" ht="13.5" customHeight="1">
      <c r="A38" s="1"/>
      <c r="B38" s="228"/>
      <c r="C38" s="808" t="s">
        <v>250</v>
      </c>
      <c r="D38" s="665"/>
      <c r="E38" s="665"/>
      <c r="F38" s="802" t="s">
        <v>251</v>
      </c>
      <c r="G38" s="665"/>
      <c r="H38" s="244">
        <f>KEY!AU19</f>
        <v>0</v>
      </c>
      <c r="I38" s="145">
        <f>H38</f>
        <v>0</v>
      </c>
      <c r="J38" s="1"/>
      <c r="K38" s="806" t="s">
        <v>252</v>
      </c>
      <c r="L38" s="666"/>
      <c r="M38" s="262">
        <f>KEY!AU19</f>
        <v>0</v>
      </c>
      <c r="N38" s="1"/>
      <c r="O38" s="1"/>
      <c r="P38" s="1"/>
      <c r="Q38" s="1"/>
    </row>
    <row r="39" spans="1:17" ht="13.5" customHeight="1">
      <c r="A39" s="1"/>
      <c r="B39" s="228">
        <v>12</v>
      </c>
      <c r="C39" s="808" t="s">
        <v>253</v>
      </c>
      <c r="D39" s="665"/>
      <c r="E39" s="665"/>
      <c r="F39" s="263" t="s">
        <v>254</v>
      </c>
      <c r="G39" s="247"/>
      <c r="H39" s="244"/>
      <c r="I39" s="248">
        <f>I21-I36-I37-I38</f>
        <v>1080841</v>
      </c>
      <c r="J39" s="264"/>
      <c r="K39" s="807" t="s">
        <v>255</v>
      </c>
      <c r="L39" s="665"/>
      <c r="M39" s="666"/>
      <c r="N39" s="1"/>
      <c r="O39" s="1"/>
      <c r="P39" s="1"/>
      <c r="Q39" s="1"/>
    </row>
    <row r="40" spans="1:17" ht="13.5" customHeight="1">
      <c r="A40" s="1"/>
      <c r="B40" s="228">
        <v>13</v>
      </c>
      <c r="C40" s="265" t="s">
        <v>256</v>
      </c>
      <c r="D40" s="266"/>
      <c r="E40" s="266"/>
      <c r="F40" s="240"/>
      <c r="G40" s="240"/>
      <c r="H40" s="244"/>
      <c r="I40" s="145"/>
      <c r="J40" s="264"/>
      <c r="K40" s="267" t="s">
        <v>198</v>
      </c>
      <c r="L40" s="268" t="s">
        <v>257</v>
      </c>
      <c r="M40" s="269">
        <f>I7</f>
        <v>1155841</v>
      </c>
      <c r="N40" s="1"/>
      <c r="O40" s="1"/>
      <c r="P40" s="1"/>
      <c r="Q40" s="1"/>
    </row>
    <row r="41" spans="1:17" ht="13.5" customHeight="1">
      <c r="A41" s="1"/>
      <c r="B41" s="228"/>
      <c r="C41" s="249" t="s">
        <v>202</v>
      </c>
      <c r="D41" s="803" t="s">
        <v>258</v>
      </c>
      <c r="E41" s="751"/>
      <c r="F41" s="804" t="s">
        <v>231</v>
      </c>
      <c r="G41" s="666"/>
      <c r="H41" s="244">
        <f>KEY!AU21</f>
        <v>0</v>
      </c>
      <c r="I41" s="145"/>
      <c r="J41" s="264"/>
      <c r="K41" s="267" t="s">
        <v>201</v>
      </c>
      <c r="L41" s="270" t="s">
        <v>259</v>
      </c>
      <c r="M41" s="19">
        <f>I11</f>
        <v>0</v>
      </c>
      <c r="N41" s="1"/>
      <c r="O41" s="1"/>
      <c r="P41" s="1"/>
      <c r="Q41" s="1"/>
    </row>
    <row r="42" spans="1:17" ht="13.5" customHeight="1">
      <c r="A42" s="1"/>
      <c r="B42" s="228"/>
      <c r="C42" s="239" t="s">
        <v>206</v>
      </c>
      <c r="D42" s="255" t="str">
        <f>DATA!G32</f>
        <v xml:space="preserve">Interest on Housing Loan Advance U/s 24B  </v>
      </c>
      <c r="E42" s="255"/>
      <c r="F42" s="242"/>
      <c r="G42" s="242"/>
      <c r="H42" s="244">
        <f>KEY!AU22</f>
        <v>0</v>
      </c>
      <c r="I42" s="145"/>
      <c r="J42" s="264"/>
      <c r="K42" s="267" t="s">
        <v>204</v>
      </c>
      <c r="L42" s="268" t="s">
        <v>260</v>
      </c>
      <c r="M42" s="269">
        <f>I20</f>
        <v>0</v>
      </c>
      <c r="N42" s="1"/>
      <c r="O42" s="1"/>
      <c r="P42" s="271"/>
      <c r="Q42" s="1"/>
    </row>
    <row r="43" spans="1:17" ht="13.5" customHeight="1">
      <c r="A43" s="1"/>
      <c r="B43" s="228"/>
      <c r="C43" s="239" t="s">
        <v>209</v>
      </c>
      <c r="D43" s="255" t="str">
        <f>DATA!G33</f>
        <v xml:space="preserve">Interest on Educational Loan U/s 80E  </v>
      </c>
      <c r="E43" s="255"/>
      <c r="F43" s="240"/>
      <c r="G43" s="240"/>
      <c r="H43" s="244">
        <f>KEY!AU23</f>
        <v>0</v>
      </c>
      <c r="I43" s="145"/>
      <c r="J43" s="264"/>
      <c r="K43" s="267" t="s">
        <v>261</v>
      </c>
      <c r="L43" s="270" t="s">
        <v>262</v>
      </c>
      <c r="M43" s="19">
        <f>I16</f>
        <v>75000</v>
      </c>
      <c r="N43" s="1"/>
      <c r="O43" s="1"/>
      <c r="P43" s="1"/>
      <c r="Q43" s="1"/>
    </row>
    <row r="44" spans="1:17" ht="13.5" customHeight="1">
      <c r="A44" s="1"/>
      <c r="B44" s="228"/>
      <c r="C44" s="239" t="s">
        <v>233</v>
      </c>
      <c r="D44" s="266" t="str">
        <f>DATA!G30</f>
        <v>Deduction for DISABLED (SELF) u/s 80U</v>
      </c>
      <c r="E44" s="266"/>
      <c r="F44" s="266"/>
      <c r="G44" s="272"/>
      <c r="H44" s="244">
        <f>KEY!AU24</f>
        <v>0</v>
      </c>
      <c r="I44" s="145"/>
      <c r="J44" s="264"/>
      <c r="K44" s="267" t="s">
        <v>263</v>
      </c>
      <c r="L44" s="273" t="s">
        <v>264</v>
      </c>
      <c r="M44" s="19">
        <f>I36</f>
        <v>0</v>
      </c>
      <c r="N44" s="1"/>
      <c r="O44" s="1"/>
      <c r="P44" s="1"/>
      <c r="Q44" s="1"/>
    </row>
    <row r="45" spans="1:17" ht="13.5" customHeight="1">
      <c r="A45" s="1"/>
      <c r="B45" s="228"/>
      <c r="C45" s="249" t="s">
        <v>234</v>
      </c>
      <c r="D45" s="808" t="s">
        <v>265</v>
      </c>
      <c r="E45" s="665"/>
      <c r="F45" s="808" t="s">
        <v>266</v>
      </c>
      <c r="G45" s="666"/>
      <c r="H45" s="244">
        <f>KEY!AU25</f>
        <v>0</v>
      </c>
      <c r="I45" s="145"/>
      <c r="J45" s="264"/>
      <c r="K45" s="267" t="s">
        <v>267</v>
      </c>
      <c r="L45" s="273" t="s">
        <v>268</v>
      </c>
      <c r="M45" s="19">
        <f>SUM(I37)</f>
        <v>0</v>
      </c>
      <c r="N45" s="1"/>
      <c r="O45" s="1"/>
      <c r="P45" s="1"/>
      <c r="Q45" s="1"/>
    </row>
    <row r="46" spans="1:17" ht="13.5" customHeight="1">
      <c r="A46" s="1"/>
      <c r="B46" s="228"/>
      <c r="C46" s="239" t="s">
        <v>236</v>
      </c>
      <c r="D46" s="808" t="s">
        <v>269</v>
      </c>
      <c r="E46" s="665"/>
      <c r="F46" s="808" t="s">
        <v>270</v>
      </c>
      <c r="G46" s="666"/>
      <c r="H46" s="244">
        <f>KEY!AU26</f>
        <v>0</v>
      </c>
      <c r="I46" s="145"/>
      <c r="J46" s="264"/>
      <c r="K46" s="267" t="s">
        <v>271</v>
      </c>
      <c r="L46" s="273" t="s">
        <v>272</v>
      </c>
      <c r="M46" s="19">
        <f>H38</f>
        <v>0</v>
      </c>
      <c r="N46" s="1"/>
      <c r="O46" s="1"/>
      <c r="P46" s="1"/>
      <c r="Q46" s="1"/>
    </row>
    <row r="47" spans="1:17" ht="13.5" customHeight="1">
      <c r="A47" s="1"/>
      <c r="B47" s="228"/>
      <c r="C47" s="249" t="s">
        <v>237</v>
      </c>
      <c r="D47" s="808" t="s">
        <v>273</v>
      </c>
      <c r="E47" s="665"/>
      <c r="F47" s="808" t="s">
        <v>231</v>
      </c>
      <c r="G47" s="666"/>
      <c r="H47" s="244">
        <f>KEY!AU27</f>
        <v>0</v>
      </c>
      <c r="I47" s="145"/>
      <c r="J47" s="264"/>
      <c r="K47" s="267" t="s">
        <v>274</v>
      </c>
      <c r="L47" s="274" t="s">
        <v>275</v>
      </c>
      <c r="M47" s="19">
        <f>I48</f>
        <v>0</v>
      </c>
      <c r="N47" s="1"/>
      <c r="O47" s="1"/>
      <c r="P47" s="1"/>
      <c r="Q47" s="1"/>
    </row>
    <row r="48" spans="1:17" ht="13.5" customHeight="1">
      <c r="A48" s="1"/>
      <c r="B48" s="228"/>
      <c r="C48" s="814" t="s">
        <v>276</v>
      </c>
      <c r="D48" s="665"/>
      <c r="E48" s="665"/>
      <c r="F48" s="804" t="s">
        <v>277</v>
      </c>
      <c r="G48" s="665"/>
      <c r="H48" s="244">
        <f>KEY!AU28</f>
        <v>0</v>
      </c>
      <c r="I48" s="145">
        <f>SUM(H41:H47)</f>
        <v>0</v>
      </c>
      <c r="J48" s="264"/>
      <c r="K48" s="275" t="s">
        <v>278</v>
      </c>
      <c r="L48" s="276" t="s">
        <v>279</v>
      </c>
      <c r="M48" s="19">
        <f>M40-M41+M42-M43-M44-M45-M46-M47</f>
        <v>1080841</v>
      </c>
      <c r="N48" s="1"/>
      <c r="O48" s="1"/>
      <c r="P48" s="1"/>
      <c r="Q48" s="1"/>
    </row>
    <row r="49" spans="1:17" ht="13.5" customHeight="1">
      <c r="A49" s="1"/>
      <c r="B49" s="228">
        <v>14</v>
      </c>
      <c r="C49" s="816" t="s">
        <v>17</v>
      </c>
      <c r="D49" s="665"/>
      <c r="E49" s="666"/>
      <c r="F49" s="277" t="s">
        <v>280</v>
      </c>
      <c r="G49" s="278" t="s">
        <v>281</v>
      </c>
      <c r="H49" s="279"/>
      <c r="I49" s="280">
        <f>ROUND(I39-I48,-1)</f>
        <v>1080840</v>
      </c>
      <c r="J49" s="264"/>
      <c r="K49" s="281" t="s">
        <v>282</v>
      </c>
      <c r="L49" s="282" t="s">
        <v>283</v>
      </c>
      <c r="M49" s="19">
        <f>ROUND(M48,-1)</f>
        <v>1080840</v>
      </c>
      <c r="N49" s="1"/>
      <c r="P49" s="1"/>
      <c r="Q49" s="1"/>
    </row>
    <row r="50" spans="1:17" ht="13.5" customHeight="1">
      <c r="A50" s="1"/>
      <c r="B50" s="228">
        <v>15</v>
      </c>
      <c r="C50" s="815" t="s">
        <v>284</v>
      </c>
      <c r="D50" s="751"/>
      <c r="E50" s="283" t="s">
        <v>285</v>
      </c>
      <c r="F50" s="284"/>
      <c r="G50" s="285"/>
      <c r="H50" s="236"/>
      <c r="I50" s="145"/>
      <c r="J50" s="264"/>
      <c r="K50" s="1"/>
      <c r="L50" s="1"/>
      <c r="M50" s="1"/>
      <c r="N50" s="1"/>
      <c r="O50" s="1"/>
      <c r="P50" s="1"/>
      <c r="Q50" s="1"/>
    </row>
    <row r="51" spans="1:17" ht="13.5" customHeight="1">
      <c r="A51" s="1"/>
      <c r="B51" s="228"/>
      <c r="C51" s="811" t="str">
        <f>UPPER(LEFT(KEY!AY29,3))&amp;" REGIME"</f>
        <v>NEW REGIME</v>
      </c>
      <c r="D51" s="286" t="s">
        <v>25</v>
      </c>
      <c r="E51" s="287" t="str">
        <f>KEY!AX30</f>
        <v>Rs.  000000 - Rs.  300000</v>
      </c>
      <c r="F51" s="288">
        <f>KEY!AZ30</f>
        <v>300000</v>
      </c>
      <c r="G51" s="289">
        <f>KEY!AY30</f>
        <v>0</v>
      </c>
      <c r="H51" s="244">
        <f t="shared" ref="H51:H56" si="2">IFERROR(ROUND(F51*G51,0),0)</f>
        <v>0</v>
      </c>
      <c r="I51" s="145"/>
      <c r="J51" s="264"/>
      <c r="K51" s="1"/>
      <c r="L51" s="1"/>
      <c r="M51" s="1"/>
      <c r="N51" s="1"/>
      <c r="O51" s="1"/>
      <c r="P51" s="1"/>
      <c r="Q51" s="1"/>
    </row>
    <row r="52" spans="1:17" ht="13.5" customHeight="1">
      <c r="A52" s="1"/>
      <c r="B52" s="228"/>
      <c r="C52" s="812"/>
      <c r="D52" s="286" t="s">
        <v>28</v>
      </c>
      <c r="E52" s="287" t="str">
        <f>KEY!AX31</f>
        <v>Rs.  300001 - Rs.  700000</v>
      </c>
      <c r="F52" s="288">
        <f>KEY!AZ31</f>
        <v>400000</v>
      </c>
      <c r="G52" s="289">
        <f>KEY!AY31</f>
        <v>0.05</v>
      </c>
      <c r="H52" s="244">
        <f t="shared" si="2"/>
        <v>20000</v>
      </c>
      <c r="I52" s="145"/>
      <c r="J52" s="264"/>
      <c r="K52" s="1"/>
      <c r="L52" s="1"/>
      <c r="M52" s="1"/>
      <c r="N52" s="1"/>
      <c r="O52" s="1"/>
      <c r="P52" s="1"/>
      <c r="Q52" s="1"/>
    </row>
    <row r="53" spans="1:17" ht="13.5" customHeight="1">
      <c r="A53" s="1"/>
      <c r="B53" s="228"/>
      <c r="C53" s="812"/>
      <c r="D53" s="286" t="s">
        <v>31</v>
      </c>
      <c r="E53" s="287" t="str">
        <f>KEY!AX32</f>
        <v>Rs.  700001 - Rs. 1000000</v>
      </c>
      <c r="F53" s="288">
        <f>KEY!AZ32</f>
        <v>300000</v>
      </c>
      <c r="G53" s="289">
        <f>KEY!AY32</f>
        <v>0.1</v>
      </c>
      <c r="H53" s="244">
        <f t="shared" si="2"/>
        <v>30000</v>
      </c>
      <c r="I53" s="145"/>
      <c r="J53" s="264"/>
      <c r="K53" s="264"/>
      <c r="L53" s="1"/>
      <c r="M53" s="1"/>
      <c r="N53" s="1"/>
      <c r="O53" s="1"/>
      <c r="P53" s="1"/>
      <c r="Q53" s="1"/>
    </row>
    <row r="54" spans="1:17" ht="13.5" customHeight="1">
      <c r="A54" s="1"/>
      <c r="B54" s="228"/>
      <c r="C54" s="812"/>
      <c r="D54" s="286" t="s">
        <v>35</v>
      </c>
      <c r="E54" s="287" t="str">
        <f>KEY!AX33</f>
        <v>Rs. 1000001 - Rs.1200000</v>
      </c>
      <c r="F54" s="288">
        <f>KEY!AZ33</f>
        <v>80840</v>
      </c>
      <c r="G54" s="289">
        <f>KEY!AY33</f>
        <v>0.15</v>
      </c>
      <c r="H54" s="244">
        <f t="shared" si="2"/>
        <v>12126</v>
      </c>
      <c r="I54" s="145"/>
      <c r="J54" s="264"/>
      <c r="K54" s="1"/>
      <c r="L54" s="1"/>
      <c r="M54" s="1"/>
      <c r="N54" s="1"/>
      <c r="O54" s="1"/>
      <c r="P54" s="1"/>
      <c r="Q54" s="1"/>
    </row>
    <row r="55" spans="1:17" ht="13.5" customHeight="1">
      <c r="A55" s="1"/>
      <c r="B55" s="228"/>
      <c r="C55" s="812"/>
      <c r="D55" s="286" t="s">
        <v>39</v>
      </c>
      <c r="E55" s="287" t="str">
        <f>KEY!AX34</f>
        <v>Rs.1200001 - Rs.1500000</v>
      </c>
      <c r="F55" s="288">
        <f>KEY!AZ34</f>
        <v>0</v>
      </c>
      <c r="G55" s="289">
        <f>KEY!AY34</f>
        <v>0.2</v>
      </c>
      <c r="H55" s="244">
        <f t="shared" si="2"/>
        <v>0</v>
      </c>
      <c r="I55" s="145"/>
      <c r="J55" s="264"/>
      <c r="K55" s="1"/>
      <c r="L55" s="1"/>
      <c r="M55" s="1"/>
      <c r="N55" s="1"/>
      <c r="O55" s="1"/>
      <c r="P55" s="1"/>
      <c r="Q55" s="1"/>
    </row>
    <row r="56" spans="1:17" ht="13.5" customHeight="1">
      <c r="A56" s="1"/>
      <c r="B56" s="228"/>
      <c r="C56" s="813"/>
      <c r="D56" s="286" t="s">
        <v>44</v>
      </c>
      <c r="E56" s="287" t="str">
        <f>KEY!AX35</f>
        <v>Rs.1500000 &amp;    ABOVE</v>
      </c>
      <c r="F56" s="288">
        <f>KEY!AZ35</f>
        <v>0</v>
      </c>
      <c r="G56" s="289">
        <f>KEY!AY35</f>
        <v>0.3</v>
      </c>
      <c r="H56" s="244">
        <f t="shared" si="2"/>
        <v>0</v>
      </c>
      <c r="I56" s="145"/>
      <c r="J56" s="264"/>
      <c r="K56" s="1"/>
      <c r="L56" s="1"/>
      <c r="M56" s="1"/>
      <c r="N56" s="1"/>
      <c r="O56" s="1"/>
      <c r="P56" s="1"/>
      <c r="Q56" s="1"/>
    </row>
    <row r="57" spans="1:17" ht="13.5" customHeight="1">
      <c r="A57" s="1"/>
      <c r="B57" s="232"/>
      <c r="C57" s="290" t="s">
        <v>286</v>
      </c>
      <c r="D57" s="860" t="str">
        <f>C51&amp;" IS APPLIED ("&amp;G3&amp;")"</f>
        <v>NEW REGIME IS APPLIED (AGE : 40 Yrs)</v>
      </c>
      <c r="E57" s="665"/>
      <c r="F57" s="810" t="s">
        <v>284</v>
      </c>
      <c r="G57" s="666"/>
      <c r="H57" s="244">
        <f>SUM(H51:H56)</f>
        <v>62126</v>
      </c>
      <c r="I57" s="145">
        <f>H57</f>
        <v>62126</v>
      </c>
      <c r="J57" s="264"/>
      <c r="K57" s="1"/>
      <c r="L57" s="1"/>
      <c r="M57" s="1"/>
      <c r="N57" s="1"/>
      <c r="O57" s="1"/>
      <c r="P57" s="1"/>
      <c r="Q57" s="1"/>
    </row>
    <row r="58" spans="1:17" ht="13.5" customHeight="1">
      <c r="A58" s="1"/>
      <c r="B58" s="228">
        <v>16</v>
      </c>
      <c r="C58" s="814" t="s">
        <v>287</v>
      </c>
      <c r="D58" s="665"/>
      <c r="E58" s="666"/>
      <c r="F58" s="853" t="str">
        <f>IF(I49&lt;=500000,"TAX REBATE IS APPLIED",  "TAX REBATE IS NOT APPLIED")</f>
        <v>TAX REBATE IS NOT APPLIED</v>
      </c>
      <c r="G58" s="666"/>
      <c r="H58" s="291"/>
      <c r="I58" s="145">
        <f>KEY!BJ31</f>
        <v>0</v>
      </c>
      <c r="J58" s="264"/>
      <c r="K58" s="1"/>
      <c r="L58" s="1"/>
      <c r="M58" s="1"/>
      <c r="N58" s="1"/>
      <c r="O58" s="1"/>
      <c r="P58" s="1"/>
      <c r="Q58" s="1"/>
    </row>
    <row r="59" spans="1:17" ht="13.5" customHeight="1">
      <c r="A59" s="1"/>
      <c r="B59" s="228">
        <v>17</v>
      </c>
      <c r="C59" s="820" t="s">
        <v>288</v>
      </c>
      <c r="D59" s="665"/>
      <c r="E59" s="666"/>
      <c r="F59" s="805"/>
      <c r="G59" s="665"/>
      <c r="H59" s="244"/>
      <c r="I59" s="145">
        <f>IF(AND(I49&lt;=500000,I57&gt;12500),(I57-I58),IF(AND(I49&gt;500000),I57,0))</f>
        <v>62126</v>
      </c>
      <c r="J59" s="264"/>
      <c r="K59" s="1"/>
      <c r="L59" s="1"/>
      <c r="M59" s="1"/>
      <c r="N59" s="1"/>
      <c r="O59" s="1"/>
      <c r="P59" s="1"/>
      <c r="Q59" s="1"/>
    </row>
    <row r="60" spans="1:17" ht="13.5" customHeight="1">
      <c r="A60" s="1"/>
      <c r="B60" s="228">
        <v>18</v>
      </c>
      <c r="C60" s="233" t="s">
        <v>289</v>
      </c>
      <c r="D60" s="242"/>
      <c r="E60" s="292"/>
      <c r="F60" s="861" t="str">
        <f>IF(I60&gt;0,"Surcharge on income tax for &gt;50 Lakhs","")</f>
        <v/>
      </c>
      <c r="G60" s="666"/>
      <c r="H60" s="244"/>
      <c r="I60" s="145">
        <f>KEY!BJ34</f>
        <v>0</v>
      </c>
      <c r="J60" s="264"/>
      <c r="K60" s="1"/>
      <c r="L60" s="1"/>
      <c r="M60" s="1"/>
      <c r="N60" s="1"/>
      <c r="O60" s="1"/>
      <c r="P60" s="1"/>
      <c r="Q60" s="1"/>
    </row>
    <row r="61" spans="1:17" ht="13.5" customHeight="1">
      <c r="A61" s="1"/>
      <c r="B61" s="232">
        <v>19</v>
      </c>
      <c r="C61" s="820" t="s">
        <v>290</v>
      </c>
      <c r="D61" s="665"/>
      <c r="E61" s="666"/>
      <c r="F61" s="293"/>
      <c r="G61" s="294" t="str">
        <f>IF(I59&gt;0,I59&amp;" x "&amp;" 4% = ","")</f>
        <v xml:space="preserve">62126 x  4% = </v>
      </c>
      <c r="H61" s="244"/>
      <c r="I61" s="145">
        <f>KEY!BJ35</f>
        <v>2485</v>
      </c>
      <c r="J61" s="264"/>
      <c r="K61" s="801" t="str">
        <f>IF(I62&lt;0,"",CHOOSE(MID(TEXT(I62,"000000000.00"),1,1)+1,,,"Twenty ","Thirty ","Forty ","Fifty ","Sixty ","Seventy ","Eighty ","Ninety ")&amp;IF(--MID(TEXT(I62,"000000000.00"),1,1)&lt;&gt;1,CHOOSE(MID(TEXT(I62,"000000000.00"),2,1)+1,,"One ","Two ","Three ","Four ","Five ","Six ","Seven ","Eight ","Nine "),CHOOSE(MID(TEXT(I62,"000000000.00"),2,1)+1,"Ten ","Eleven ","Twelve ","Thirteen ","Fourteen ","Fifteen ","Sixteen ","Seventeen ","Eighteen ","Nineteen "))&amp;IF((--MID(TEXT(I62,"000000000.00"),1,1)+MID(TEXT(I62,"000000000.00"),1,1)+MID(TEXT(I62,"000000000.00"),2,1))=0,,"crore ")&amp;CHOOSE(MID(TEXT(I62,"000000000.00"),3,1)+1,,,"Twenty ","Thirty ","Forty ","Fifty ","Sixty ","Seventy ","Eighty ","Ninety ")&amp;IF(--MID(TEXT(I62,"000000000.00"),3,1)&lt;&gt;1,CHOOSE(MID(TEXT(I62,"000000000.00"),4,1)+1,,"One ","Two ","Three ","Four ","Five ","Six ","Seven ","Eight ","Nine "),CHOOSE(MID(TEXT(I62,"000000000.00"),4,1)+1,"Ten ","Eleven ","Twelve ","Thirteen ","Fourteen ","Fifteen ","Sixteen ","Seventeen ","Eighteen ","Nineteen "))&amp;IF((--MID(TEXT(I62,"000000000.00"),3,1)+MID(TEXT(I62,"000000000.00"),3,1)+MID(TEXT(I62,"000000000.00"),4,1))=0,"","lakh ")&amp;CHOOSE(MID(TEXT(I62,"000000000.00"),5,1)+1,,,"Twenty ","Thirty ","Forty ","Fifty ","Sixty ","Seventy ","Eighty ","Ninety ")&amp;IF(--MID(TEXT(I62,"000000000.00"),5,1)&lt;&gt;1,CHOOSE(MID(TEXT(I62,"000000000.00"),6,1)+1,,"One ","Two ","Three ","Four ","Five ","Six ","Seven ","Eight ","Nine "),CHOOSE(MID(TEXT(I62,"000000000.00"),6,1)+1,"Ten ","Eleven ","Twelve ","Thirteen ","Fourteen ","Fifteen ","Sixteen ","Seventeen ","Eighteen ","Nineteen "))&amp;IF((--MID(TEXT(I62,"000000000.00"),5,1)+MID(TEXT(I62,"000000000.00"),5,1)+MID(TEXT(I62,"000000000.00"),6,1))=0,"","Thousand ")&amp;CHOOSE(MID(TEXT(I62,"000000000.00"),7,1)+1,,"One ","Two ","Three ","Four ","Five ","Six ","Seven ","Eight ","Nine ")&amp;IF(--MID(TEXT(I62,"000000000.00"),7,1)=0,,IF(AND(--MID(TEXT(I62,"000000000.00"),8,1)=0,--MID(TEXT(I62,"000000000.00"),9,1)=0),"Hundred ","Hundred and "))&amp;CHOOSE(MID(TEXT(I62,"000000000.00"),8,1)+1,,,"Twenty ","Thirty ","Forty ","Fifty ","Sixty ","Seventy ","Eighty ","Ninety ")&amp;IF(--MID(TEXT(I62,"000000000.00"),8,1)&lt;&gt;1,CHOOSE(MID(TEXT(I62,"000000000.00"),9,1)+1,,"One ","Two ","Three ","Four ","Five ","Six ","Seven ","Eight ","Nine "),CHOOSE(MID(TEXT(I62,"000000000.00"),9,1)+1,"Ten ","Eleven ","Twelve ","Thirteen ","Fourteen ","Fifteen ","Sixteen ","Seventeen ","Eighteen ","Nineteen "))&amp;IF(I62&lt;0,"",IF(I62=0," Zero Rupees",IF(AND(I62&gt;0,I62&lt;1),"",IF(AND(I62&gt;=1,I62&lt;2),"Rupee ","Rupees ")))))</f>
        <v xml:space="preserve">Sixty Four Thousand Six Hundred and Eleven Rupees </v>
      </c>
      <c r="L61" s="707"/>
      <c r="M61" s="690"/>
      <c r="N61" s="1"/>
      <c r="O61" s="1"/>
      <c r="P61" s="1"/>
      <c r="Q61" s="1"/>
    </row>
    <row r="62" spans="1:17" ht="13.5" customHeight="1">
      <c r="A62" s="1"/>
      <c r="B62" s="228">
        <v>20</v>
      </c>
      <c r="C62" s="818" t="s">
        <v>291</v>
      </c>
      <c r="D62" s="665"/>
      <c r="E62" s="666"/>
      <c r="F62" s="817" t="str">
        <f>IF(I59=0,"",IF(I60=0,I59&amp;" + "&amp;I61&amp;" = ",I59&amp;" + "&amp;I60&amp;" + "&amp;I61&amp;" = "))</f>
        <v xml:space="preserve">62126 + 2485 = </v>
      </c>
      <c r="G62" s="666"/>
      <c r="H62" s="295"/>
      <c r="I62" s="280">
        <f>SUM(I59,I60,I61)</f>
        <v>64611</v>
      </c>
      <c r="J62" s="1"/>
      <c r="K62" s="708"/>
      <c r="L62" s="703"/>
      <c r="M62" s="709"/>
      <c r="N62" s="1"/>
      <c r="O62" s="1"/>
      <c r="P62" s="1"/>
      <c r="Q62" s="1"/>
    </row>
    <row r="63" spans="1:17" ht="13.5" customHeight="1">
      <c r="A63" s="1"/>
      <c r="B63" s="228">
        <v>21</v>
      </c>
      <c r="C63" s="814" t="s">
        <v>292</v>
      </c>
      <c r="D63" s="665"/>
      <c r="E63" s="666"/>
      <c r="F63" s="860" t="str">
        <f>IF(H63&gt;0,"TAX RELIEF IS APPLIED",  "TAX RELIEF IS NOT APPLIED")</f>
        <v>TAX RELIEF IS NOT APPLIED</v>
      </c>
      <c r="G63" s="666"/>
      <c r="H63" s="244">
        <f>KEY!BJ31</f>
        <v>0</v>
      </c>
      <c r="I63" s="145">
        <f>H63</f>
        <v>0</v>
      </c>
      <c r="J63" s="1"/>
      <c r="K63" s="708"/>
      <c r="L63" s="703"/>
      <c r="M63" s="709"/>
      <c r="N63" s="1"/>
      <c r="O63" s="1"/>
      <c r="P63" s="1"/>
      <c r="Q63" s="296"/>
    </row>
    <row r="64" spans="1:17" ht="13.5" customHeight="1">
      <c r="A64" s="1"/>
      <c r="B64" s="228">
        <v>22</v>
      </c>
      <c r="C64" s="814" t="s">
        <v>293</v>
      </c>
      <c r="D64" s="665"/>
      <c r="E64" s="666"/>
      <c r="F64" s="819" t="s">
        <v>294</v>
      </c>
      <c r="G64" s="666"/>
      <c r="H64" s="297">
        <f>SUM(DATA!M3:M14)</f>
        <v>55000</v>
      </c>
      <c r="I64" s="248">
        <f>SUM(DATA!M3:M14)</f>
        <v>55000</v>
      </c>
      <c r="J64" s="1"/>
      <c r="K64" s="708"/>
      <c r="L64" s="703"/>
      <c r="M64" s="709"/>
      <c r="N64" s="1"/>
      <c r="O64" s="1"/>
      <c r="P64" s="1"/>
      <c r="Q64" s="1"/>
    </row>
    <row r="65" spans="1:17" ht="13.5" customHeight="1">
      <c r="A65" s="1"/>
      <c r="B65" s="228">
        <v>23</v>
      </c>
      <c r="C65" s="862" t="s">
        <v>295</v>
      </c>
      <c r="D65" s="665"/>
      <c r="E65" s="863"/>
      <c r="F65" s="246" t="s">
        <v>296</v>
      </c>
      <c r="G65" s="298"/>
      <c r="H65" s="299" t="str">
        <f>IF(I65=0,"ZERO TAX →",IF(I65&lt;0,"REFUND →",""))</f>
        <v/>
      </c>
      <c r="I65" s="280">
        <f>I62-I63-I64</f>
        <v>9611</v>
      </c>
      <c r="J65" s="1"/>
      <c r="K65" s="674"/>
      <c r="L65" s="675"/>
      <c r="M65" s="696"/>
      <c r="N65" s="1"/>
      <c r="O65" s="1"/>
      <c r="P65" s="1"/>
      <c r="Q65" s="1"/>
    </row>
    <row r="66" spans="1:17" ht="15.75" customHeight="1">
      <c r="A66" s="1"/>
      <c r="B66" s="857" t="str">
        <f>IF(I11=0,"",IF(DATA!E12=0,"",IF(DATA!E12="","",CONCATENATE("● This is certify that I have paid an amount of Rs. ",M3," towards house rent for the F.Y. 2024-25. "," (RENT = Rs. ",DATA!E12," x ",DATA!E13," Months) ●"))))</f>
        <v/>
      </c>
      <c r="C66" s="672"/>
      <c r="D66" s="672"/>
      <c r="E66" s="672"/>
      <c r="F66" s="672"/>
      <c r="G66" s="672"/>
      <c r="H66" s="672"/>
      <c r="I66" s="694"/>
      <c r="J66" s="1"/>
      <c r="K66" s="300"/>
      <c r="L66" s="300"/>
      <c r="M66" s="300"/>
      <c r="N66" s="1"/>
      <c r="O66" s="1"/>
      <c r="P66" s="1"/>
      <c r="Q66" s="1"/>
    </row>
    <row r="67" spans="1:17" ht="39.75" customHeight="1">
      <c r="A67" s="1"/>
      <c r="B67" s="858" t="s">
        <v>183</v>
      </c>
      <c r="C67" s="675"/>
      <c r="D67" s="675"/>
      <c r="E67" s="675"/>
      <c r="F67" s="675"/>
      <c r="G67" s="859" t="s">
        <v>184</v>
      </c>
      <c r="H67" s="675"/>
      <c r="I67" s="696"/>
      <c r="J67" s="1"/>
      <c r="K67" s="300"/>
      <c r="L67" s="300"/>
      <c r="M67" s="300"/>
      <c r="N67" s="1"/>
      <c r="O67" s="1"/>
      <c r="P67" s="1"/>
      <c r="Q67" s="1"/>
    </row>
    <row r="68" spans="1:17" ht="12" customHeight="1">
      <c r="A68" s="301"/>
      <c r="B68" s="809" t="s">
        <v>185</v>
      </c>
      <c r="C68" s="707"/>
      <c r="D68" s="707"/>
      <c r="E68" s="707"/>
      <c r="F68" s="707"/>
      <c r="G68" s="707"/>
      <c r="H68" s="707"/>
      <c r="I68" s="707"/>
      <c r="J68" s="301"/>
      <c r="K68" s="301"/>
      <c r="L68" s="301"/>
      <c r="M68" s="301"/>
      <c r="N68" s="301"/>
      <c r="O68" s="301"/>
      <c r="P68" s="301"/>
      <c r="Q68" s="301"/>
    </row>
    <row r="69" spans="1:17" ht="16.5" customHeight="1">
      <c r="A69" s="1"/>
      <c r="B69" s="3"/>
      <c r="C69" s="1"/>
      <c r="D69" s="1"/>
      <c r="E69" s="1"/>
      <c r="F69" s="216"/>
      <c r="G69" s="1"/>
      <c r="H69" s="2"/>
      <c r="I69" s="2"/>
      <c r="J69" s="1"/>
      <c r="K69" s="1"/>
      <c r="L69" s="1"/>
      <c r="M69" s="1"/>
      <c r="N69" s="1"/>
      <c r="O69" s="1"/>
      <c r="P69" s="1"/>
      <c r="Q69" s="1"/>
    </row>
    <row r="70" spans="1:17" ht="16.5" customHeight="1">
      <c r="A70" s="1"/>
      <c r="B70" s="3"/>
      <c r="C70" s="1"/>
      <c r="D70" s="1"/>
      <c r="E70" s="1"/>
      <c r="F70" s="216"/>
      <c r="G70" s="1"/>
      <c r="H70" s="2"/>
      <c r="I70" s="2"/>
      <c r="J70" s="1"/>
      <c r="K70" s="1"/>
      <c r="L70" s="1"/>
      <c r="M70" s="1"/>
      <c r="N70" s="1"/>
      <c r="O70" s="1"/>
      <c r="P70" s="1"/>
      <c r="Q70" s="1"/>
    </row>
    <row r="71" spans="1:17" ht="16.5" customHeight="1">
      <c r="A71" s="1"/>
      <c r="B71" s="3"/>
      <c r="C71" s="1"/>
      <c r="D71" s="1"/>
      <c r="E71" s="1"/>
      <c r="F71" s="216"/>
      <c r="G71" s="1"/>
      <c r="H71" s="2"/>
      <c r="I71" s="2"/>
      <c r="J71" s="1"/>
      <c r="K71" s="1"/>
      <c r="L71" s="1"/>
      <c r="M71" s="1"/>
      <c r="N71" s="1"/>
      <c r="O71" s="1"/>
      <c r="P71" s="1"/>
      <c r="Q71" s="1"/>
    </row>
    <row r="72" spans="1:17" ht="16.5" customHeight="1">
      <c r="A72" s="1"/>
      <c r="B72" s="3"/>
      <c r="C72" s="1"/>
      <c r="D72" s="1"/>
      <c r="E72" s="1"/>
      <c r="F72" s="216"/>
      <c r="G72" s="1"/>
      <c r="H72" s="2"/>
      <c r="I72" s="2"/>
      <c r="J72" s="1"/>
      <c r="K72" s="1"/>
      <c r="L72" s="1"/>
      <c r="M72" s="1"/>
      <c r="N72" s="1"/>
      <c r="O72" s="1"/>
      <c r="P72" s="1"/>
      <c r="Q72" s="1"/>
    </row>
    <row r="73" spans="1:17" ht="16.5" customHeight="1">
      <c r="A73" s="1"/>
      <c r="B73" s="3"/>
      <c r="C73" s="1"/>
      <c r="D73" s="1"/>
      <c r="E73" s="1"/>
      <c r="F73" s="216"/>
      <c r="G73" s="1"/>
      <c r="H73" s="2"/>
      <c r="I73" s="2"/>
      <c r="J73" s="1"/>
      <c r="K73" s="1"/>
      <c r="L73" s="1"/>
      <c r="M73" s="1"/>
      <c r="N73" s="1"/>
      <c r="O73" s="1"/>
      <c r="P73" s="1"/>
      <c r="Q73" s="1"/>
    </row>
    <row r="74" spans="1:17" ht="16.5" customHeight="1">
      <c r="A74" s="1"/>
      <c r="B74" s="3"/>
      <c r="C74" s="1"/>
      <c r="D74" s="1"/>
      <c r="E74" s="1"/>
      <c r="F74" s="216"/>
      <c r="G74" s="1"/>
      <c r="H74" s="2"/>
      <c r="I74" s="2"/>
      <c r="J74" s="1"/>
      <c r="K74" s="1"/>
      <c r="L74" s="1"/>
      <c r="M74" s="1"/>
      <c r="N74" s="1"/>
      <c r="O74" s="1"/>
      <c r="P74" s="1"/>
      <c r="Q74" s="1"/>
    </row>
    <row r="75" spans="1:17" ht="16.5" customHeight="1">
      <c r="A75" s="1"/>
      <c r="B75" s="3"/>
      <c r="C75" s="1"/>
      <c r="D75" s="1"/>
      <c r="E75" s="1"/>
      <c r="F75" s="216"/>
      <c r="G75" s="1"/>
      <c r="H75" s="2"/>
      <c r="I75" s="2"/>
      <c r="J75" s="1"/>
      <c r="K75" s="1"/>
      <c r="L75" s="1"/>
      <c r="M75" s="1"/>
      <c r="N75" s="1"/>
      <c r="O75" s="1"/>
      <c r="P75" s="1"/>
      <c r="Q75" s="1"/>
    </row>
    <row r="76" spans="1:17" ht="16.5" customHeight="1">
      <c r="A76" s="1"/>
      <c r="B76" s="3"/>
      <c r="C76" s="1"/>
      <c r="D76" s="1"/>
      <c r="E76" s="1"/>
      <c r="F76" s="216"/>
      <c r="G76" s="1"/>
      <c r="H76" s="2"/>
      <c r="I76" s="2"/>
      <c r="J76" s="1"/>
      <c r="K76" s="1"/>
      <c r="L76" s="1"/>
      <c r="M76" s="1"/>
      <c r="N76" s="1"/>
      <c r="O76" s="1"/>
      <c r="P76" s="1"/>
      <c r="Q76" s="1"/>
    </row>
    <row r="77" spans="1:17" ht="16.5" customHeight="1">
      <c r="A77" s="1"/>
      <c r="B77" s="3"/>
      <c r="C77" s="1"/>
      <c r="D77" s="1"/>
      <c r="E77" s="1"/>
      <c r="F77" s="216"/>
      <c r="G77" s="1"/>
      <c r="H77" s="2"/>
      <c r="I77" s="2"/>
      <c r="J77" s="1"/>
      <c r="K77" s="1"/>
      <c r="L77" s="1"/>
      <c r="M77" s="1"/>
      <c r="N77" s="1"/>
      <c r="O77" s="1"/>
      <c r="P77" s="1"/>
      <c r="Q77" s="1"/>
    </row>
    <row r="78" spans="1:17" ht="16.5" customHeight="1">
      <c r="A78" s="1"/>
      <c r="B78" s="3"/>
      <c r="C78" s="1"/>
      <c r="D78" s="1"/>
      <c r="E78" s="1"/>
      <c r="F78" s="216"/>
      <c r="G78" s="1"/>
      <c r="H78" s="2"/>
      <c r="I78" s="2"/>
      <c r="J78" s="1"/>
      <c r="K78" s="1"/>
      <c r="L78" s="1"/>
      <c r="M78" s="1"/>
      <c r="N78" s="1"/>
      <c r="O78" s="1"/>
      <c r="P78" s="1"/>
      <c r="Q78" s="1"/>
    </row>
    <row r="79" spans="1:17" ht="16.5" customHeight="1">
      <c r="A79" s="1"/>
      <c r="B79" s="3"/>
      <c r="C79" s="1"/>
      <c r="D79" s="1"/>
      <c r="E79" s="1"/>
      <c r="F79" s="216"/>
      <c r="G79" s="1"/>
      <c r="H79" s="2"/>
      <c r="I79" s="2"/>
      <c r="J79" s="1"/>
      <c r="K79" s="1"/>
      <c r="L79" s="1"/>
      <c r="M79" s="1"/>
      <c r="N79" s="1"/>
      <c r="O79" s="1"/>
      <c r="P79" s="1"/>
      <c r="Q79" s="1"/>
    </row>
    <row r="80" spans="1:17" ht="16.5" customHeight="1">
      <c r="A80" s="1"/>
      <c r="B80" s="3"/>
      <c r="C80" s="1"/>
      <c r="D80" s="1"/>
      <c r="E80" s="1"/>
      <c r="F80" s="216"/>
      <c r="G80" s="1"/>
      <c r="H80" s="2"/>
      <c r="I80" s="2"/>
      <c r="J80" s="1"/>
      <c r="K80" s="1"/>
      <c r="L80" s="1"/>
      <c r="M80" s="1"/>
      <c r="N80" s="1"/>
      <c r="O80" s="1"/>
      <c r="P80" s="1"/>
      <c r="Q80" s="1"/>
    </row>
    <row r="81" spans="1:17" ht="16.5" customHeight="1">
      <c r="A81" s="1"/>
      <c r="B81" s="3"/>
      <c r="C81" s="1"/>
      <c r="D81" s="1"/>
      <c r="E81" s="1"/>
      <c r="F81" s="216"/>
      <c r="G81" s="1"/>
      <c r="H81" s="2"/>
      <c r="I81" s="2"/>
      <c r="J81" s="1"/>
      <c r="K81" s="1"/>
      <c r="L81" s="1"/>
      <c r="M81" s="1"/>
      <c r="N81" s="1"/>
      <c r="O81" s="1"/>
      <c r="P81" s="1"/>
      <c r="Q81" s="1"/>
    </row>
    <row r="82" spans="1:17" ht="16.5" customHeight="1">
      <c r="A82" s="1"/>
      <c r="B82" s="3"/>
      <c r="C82" s="1"/>
      <c r="D82" s="1"/>
      <c r="E82" s="1"/>
      <c r="F82" s="216"/>
      <c r="G82" s="1"/>
      <c r="H82" s="2"/>
      <c r="I82" s="2"/>
      <c r="J82" s="1"/>
      <c r="K82" s="1"/>
      <c r="L82" s="1"/>
      <c r="M82" s="1"/>
      <c r="N82" s="1"/>
      <c r="O82" s="1"/>
      <c r="P82" s="1"/>
      <c r="Q82" s="1"/>
    </row>
    <row r="83" spans="1:17" ht="16.5" customHeight="1">
      <c r="A83" s="1"/>
      <c r="B83" s="3"/>
      <c r="C83" s="1"/>
      <c r="D83" s="1"/>
      <c r="E83" s="1"/>
      <c r="F83" s="216"/>
      <c r="G83" s="1"/>
      <c r="H83" s="2"/>
      <c r="I83" s="2"/>
      <c r="J83" s="1"/>
      <c r="K83" s="1"/>
      <c r="L83" s="1"/>
      <c r="M83" s="1"/>
      <c r="N83" s="1"/>
      <c r="O83" s="1"/>
      <c r="P83" s="1"/>
      <c r="Q83" s="1"/>
    </row>
    <row r="84" spans="1:17" ht="16.5" customHeight="1">
      <c r="A84" s="1"/>
      <c r="B84" s="3"/>
      <c r="C84" s="1"/>
      <c r="D84" s="1"/>
      <c r="E84" s="1"/>
      <c r="F84" s="216"/>
      <c r="G84" s="1"/>
      <c r="H84" s="2"/>
      <c r="I84" s="2"/>
      <c r="J84" s="1"/>
      <c r="K84" s="1"/>
      <c r="L84" s="1"/>
      <c r="M84" s="1"/>
      <c r="N84" s="1"/>
      <c r="O84" s="1"/>
      <c r="P84" s="1"/>
      <c r="Q84" s="1"/>
    </row>
    <row r="85" spans="1:17" ht="16.5" customHeight="1">
      <c r="A85" s="1"/>
      <c r="B85" s="3"/>
      <c r="C85" s="1"/>
      <c r="D85" s="1"/>
      <c r="E85" s="1"/>
      <c r="F85" s="216"/>
      <c r="G85" s="1"/>
      <c r="H85" s="2"/>
      <c r="I85" s="2"/>
      <c r="J85" s="1"/>
      <c r="K85" s="1"/>
      <c r="L85" s="1"/>
      <c r="M85" s="1"/>
      <c r="N85" s="1"/>
      <c r="O85" s="1"/>
      <c r="P85" s="1"/>
      <c r="Q85" s="1"/>
    </row>
    <row r="86" spans="1:17" ht="16.5" customHeight="1">
      <c r="A86" s="1"/>
      <c r="B86" s="3"/>
      <c r="C86" s="1"/>
      <c r="D86" s="1"/>
      <c r="E86" s="1"/>
      <c r="F86" s="216"/>
      <c r="G86" s="1"/>
      <c r="H86" s="2"/>
      <c r="I86" s="2"/>
      <c r="J86" s="1"/>
      <c r="K86" s="1"/>
      <c r="L86" s="1"/>
      <c r="M86" s="1"/>
      <c r="N86" s="1"/>
      <c r="O86" s="1"/>
      <c r="P86" s="1"/>
      <c r="Q86" s="1"/>
    </row>
    <row r="87" spans="1:17" ht="16.5" customHeight="1">
      <c r="A87" s="1"/>
      <c r="B87" s="3"/>
      <c r="C87" s="1"/>
      <c r="D87" s="1"/>
      <c r="E87" s="1"/>
      <c r="F87" s="216"/>
      <c r="G87" s="1"/>
      <c r="H87" s="2"/>
      <c r="I87" s="2"/>
      <c r="J87" s="1"/>
      <c r="K87" s="1"/>
      <c r="L87" s="1"/>
      <c r="M87" s="1"/>
      <c r="N87" s="1"/>
      <c r="O87" s="1"/>
      <c r="P87" s="1"/>
      <c r="Q87" s="1"/>
    </row>
    <row r="88" spans="1:17" ht="16.5" customHeight="1">
      <c r="A88" s="1"/>
      <c r="B88" s="3"/>
      <c r="C88" s="1"/>
      <c r="D88" s="1"/>
      <c r="E88" s="1"/>
      <c r="F88" s="216"/>
      <c r="G88" s="1"/>
      <c r="H88" s="2"/>
      <c r="I88" s="2"/>
      <c r="J88" s="1"/>
      <c r="K88" s="1"/>
      <c r="L88" s="1"/>
      <c r="M88" s="1"/>
      <c r="N88" s="1"/>
      <c r="O88" s="1"/>
      <c r="P88" s="1"/>
      <c r="Q88" s="1"/>
    </row>
    <row r="89" spans="1:17" ht="16.5" customHeight="1">
      <c r="A89" s="1"/>
      <c r="B89" s="3"/>
      <c r="C89" s="1"/>
      <c r="D89" s="1"/>
      <c r="E89" s="1"/>
      <c r="F89" s="216"/>
      <c r="G89" s="1"/>
      <c r="H89" s="2"/>
      <c r="I89" s="2"/>
      <c r="J89" s="1"/>
      <c r="K89" s="1"/>
      <c r="L89" s="1"/>
      <c r="M89" s="1"/>
      <c r="N89" s="1"/>
      <c r="O89" s="1"/>
      <c r="P89" s="1"/>
      <c r="Q89" s="1"/>
    </row>
    <row r="90" spans="1:17" ht="16.5" customHeight="1">
      <c r="A90" s="1"/>
      <c r="B90" s="3"/>
      <c r="C90" s="1"/>
      <c r="D90" s="1"/>
      <c r="E90" s="1"/>
      <c r="F90" s="216"/>
      <c r="G90" s="1"/>
      <c r="H90" s="2"/>
      <c r="I90" s="2"/>
      <c r="J90" s="1"/>
      <c r="K90" s="1"/>
      <c r="L90" s="1"/>
      <c r="M90" s="1"/>
      <c r="N90" s="1"/>
      <c r="O90" s="1"/>
      <c r="P90" s="1"/>
      <c r="Q90" s="1"/>
    </row>
    <row r="91" spans="1:17" ht="16.5" customHeight="1">
      <c r="A91" s="1"/>
      <c r="B91" s="3"/>
      <c r="C91" s="1"/>
      <c r="D91" s="1"/>
      <c r="E91" s="1"/>
      <c r="F91" s="216"/>
      <c r="G91" s="1"/>
      <c r="H91" s="2"/>
      <c r="I91" s="2"/>
      <c r="J91" s="1"/>
      <c r="K91" s="1"/>
      <c r="L91" s="1"/>
      <c r="M91" s="1"/>
      <c r="N91" s="1"/>
      <c r="O91" s="1"/>
      <c r="P91" s="1"/>
      <c r="Q91" s="1"/>
    </row>
    <row r="92" spans="1:17" ht="16.5" customHeight="1">
      <c r="A92" s="1"/>
      <c r="B92" s="3"/>
      <c r="C92" s="1"/>
      <c r="D92" s="1"/>
      <c r="E92" s="1"/>
      <c r="F92" s="216"/>
      <c r="G92" s="1"/>
      <c r="H92" s="2"/>
      <c r="I92" s="2"/>
      <c r="J92" s="1"/>
      <c r="K92" s="1"/>
      <c r="L92" s="1"/>
      <c r="M92" s="1"/>
      <c r="N92" s="1"/>
      <c r="O92" s="1"/>
      <c r="P92" s="1"/>
      <c r="Q92" s="1"/>
    </row>
    <row r="93" spans="1:17" ht="16.5" customHeight="1">
      <c r="A93" s="1"/>
      <c r="B93" s="3"/>
      <c r="C93" s="1"/>
      <c r="D93" s="1"/>
      <c r="E93" s="1"/>
      <c r="F93" s="216"/>
      <c r="G93" s="1"/>
      <c r="H93" s="2"/>
      <c r="I93" s="2"/>
      <c r="J93" s="1"/>
      <c r="K93" s="1"/>
      <c r="L93" s="1"/>
      <c r="M93" s="1"/>
      <c r="N93" s="1"/>
      <c r="O93" s="1"/>
      <c r="P93" s="1"/>
      <c r="Q93" s="1"/>
    </row>
    <row r="94" spans="1:17" ht="16.5" customHeight="1">
      <c r="A94" s="1"/>
      <c r="B94" s="3"/>
      <c r="C94" s="1"/>
      <c r="D94" s="1"/>
      <c r="E94" s="1"/>
      <c r="F94" s="216"/>
      <c r="G94" s="1"/>
      <c r="H94" s="2"/>
      <c r="I94" s="2"/>
      <c r="J94" s="1"/>
      <c r="K94" s="1"/>
      <c r="L94" s="1"/>
      <c r="M94" s="1"/>
      <c r="N94" s="1"/>
      <c r="O94" s="1"/>
      <c r="P94" s="1"/>
      <c r="Q94" s="1"/>
    </row>
    <row r="95" spans="1:17" ht="16.5" customHeight="1">
      <c r="A95" s="1"/>
      <c r="B95" s="3"/>
      <c r="C95" s="1"/>
      <c r="D95" s="1"/>
      <c r="E95" s="1"/>
      <c r="F95" s="216"/>
      <c r="G95" s="1"/>
      <c r="H95" s="2"/>
      <c r="I95" s="2"/>
      <c r="J95" s="1"/>
      <c r="K95" s="1"/>
      <c r="L95" s="1"/>
      <c r="M95" s="1"/>
      <c r="N95" s="1"/>
      <c r="O95" s="1"/>
      <c r="P95" s="1"/>
      <c r="Q95" s="1"/>
    </row>
    <row r="96" spans="1:17" ht="16.5" customHeight="1">
      <c r="A96" s="1"/>
      <c r="B96" s="3"/>
      <c r="C96" s="1"/>
      <c r="D96" s="1"/>
      <c r="E96" s="1"/>
      <c r="F96" s="216"/>
      <c r="G96" s="1"/>
      <c r="H96" s="2"/>
      <c r="I96" s="2"/>
      <c r="J96" s="1"/>
      <c r="K96" s="1"/>
      <c r="L96" s="1"/>
      <c r="M96" s="1"/>
      <c r="N96" s="1"/>
      <c r="O96" s="1"/>
      <c r="P96" s="1"/>
      <c r="Q96" s="1"/>
    </row>
    <row r="97" spans="1:17" ht="16.5" customHeight="1">
      <c r="A97" s="1"/>
      <c r="B97" s="3"/>
      <c r="C97" s="1"/>
      <c r="D97" s="1"/>
      <c r="E97" s="1"/>
      <c r="F97" s="216"/>
      <c r="G97" s="1"/>
      <c r="H97" s="2"/>
      <c r="I97" s="2"/>
      <c r="J97" s="1"/>
      <c r="K97" s="1"/>
      <c r="L97" s="1"/>
      <c r="M97" s="1"/>
      <c r="N97" s="1"/>
      <c r="O97" s="1"/>
      <c r="P97" s="1"/>
      <c r="Q97" s="1"/>
    </row>
    <row r="98" spans="1:17" ht="16.5" customHeight="1">
      <c r="A98" s="1"/>
      <c r="B98" s="3"/>
      <c r="C98" s="1"/>
      <c r="D98" s="1"/>
      <c r="E98" s="1"/>
      <c r="F98" s="216"/>
      <c r="G98" s="1"/>
      <c r="H98" s="2"/>
      <c r="I98" s="2"/>
      <c r="J98" s="1"/>
      <c r="K98" s="1"/>
      <c r="L98" s="1"/>
      <c r="M98" s="1"/>
      <c r="N98" s="1"/>
      <c r="O98" s="1"/>
      <c r="P98" s="1"/>
      <c r="Q98" s="1"/>
    </row>
    <row r="99" spans="1:17" ht="16.5" customHeight="1">
      <c r="A99" s="1"/>
      <c r="B99" s="3"/>
      <c r="C99" s="1"/>
      <c r="D99" s="1"/>
      <c r="E99" s="1"/>
      <c r="F99" s="216"/>
      <c r="G99" s="1"/>
      <c r="H99" s="2"/>
      <c r="I99" s="2"/>
      <c r="J99" s="1"/>
      <c r="K99" s="1"/>
      <c r="L99" s="1"/>
      <c r="M99" s="1"/>
      <c r="N99" s="1"/>
      <c r="O99" s="1"/>
      <c r="P99" s="1"/>
      <c r="Q99" s="1"/>
    </row>
    <row r="100" spans="1:17" ht="16.5" customHeight="1">
      <c r="A100" s="1"/>
      <c r="B100" s="3"/>
      <c r="C100" s="1"/>
      <c r="D100" s="1"/>
      <c r="E100" s="1"/>
      <c r="F100" s="216"/>
      <c r="G100" s="1"/>
      <c r="H100" s="2"/>
      <c r="I100" s="2"/>
      <c r="J100" s="1"/>
      <c r="K100" s="1"/>
      <c r="L100" s="1"/>
      <c r="M100" s="1"/>
      <c r="N100" s="1"/>
      <c r="O100" s="1"/>
      <c r="P100" s="1"/>
      <c r="Q100" s="1"/>
    </row>
  </sheetData>
  <mergeCells count="100">
    <mergeCell ref="F19:G19"/>
    <mergeCell ref="C20:E20"/>
    <mergeCell ref="F22:G22"/>
    <mergeCell ref="F23:G23"/>
    <mergeCell ref="F24:G24"/>
    <mergeCell ref="C58:E58"/>
    <mergeCell ref="C59:E59"/>
    <mergeCell ref="C65:E65"/>
    <mergeCell ref="D29:E29"/>
    <mergeCell ref="C38:E38"/>
    <mergeCell ref="D24:E24"/>
    <mergeCell ref="D28:E28"/>
    <mergeCell ref="D33:E33"/>
    <mergeCell ref="D34:E34"/>
    <mergeCell ref="F25:G25"/>
    <mergeCell ref="D26:G26"/>
    <mergeCell ref="D25:E25"/>
    <mergeCell ref="D27:E27"/>
    <mergeCell ref="B66:I66"/>
    <mergeCell ref="B67:F67"/>
    <mergeCell ref="G67:I67"/>
    <mergeCell ref="D57:E57"/>
    <mergeCell ref="D45:E45"/>
    <mergeCell ref="D46:E46"/>
    <mergeCell ref="F45:G45"/>
    <mergeCell ref="F46:G46"/>
    <mergeCell ref="F58:G58"/>
    <mergeCell ref="C63:E63"/>
    <mergeCell ref="F63:G63"/>
    <mergeCell ref="F60:G60"/>
    <mergeCell ref="D16:E16"/>
    <mergeCell ref="C17:E17"/>
    <mergeCell ref="C21:E21"/>
    <mergeCell ref="C22:E22"/>
    <mergeCell ref="D23:E23"/>
    <mergeCell ref="C18:E18"/>
    <mergeCell ref="C19:E19"/>
    <mergeCell ref="K35:L35"/>
    <mergeCell ref="K36:L36"/>
    <mergeCell ref="D30:E30"/>
    <mergeCell ref="D31:E31"/>
    <mergeCell ref="D32:E32"/>
    <mergeCell ref="C36:E36"/>
    <mergeCell ref="H6:I6"/>
    <mergeCell ref="F4:G4"/>
    <mergeCell ref="E3:F3"/>
    <mergeCell ref="F11:G11"/>
    <mergeCell ref="C5:E5"/>
    <mergeCell ref="K6:M6"/>
    <mergeCell ref="E7:G7"/>
    <mergeCell ref="K19:L19"/>
    <mergeCell ref="K20:M20"/>
    <mergeCell ref="D10:E10"/>
    <mergeCell ref="C8:E8"/>
    <mergeCell ref="C6:E6"/>
    <mergeCell ref="C7:D7"/>
    <mergeCell ref="C12:E12"/>
    <mergeCell ref="C13:E13"/>
    <mergeCell ref="F14:G14"/>
    <mergeCell ref="K10:L10"/>
    <mergeCell ref="K11:L11"/>
    <mergeCell ref="K18:L18"/>
    <mergeCell ref="K17:L17"/>
    <mergeCell ref="F6:G6"/>
    <mergeCell ref="K2:M2"/>
    <mergeCell ref="O3:Q5"/>
    <mergeCell ref="F5:G5"/>
    <mergeCell ref="H5:I5"/>
    <mergeCell ref="B2:D3"/>
    <mergeCell ref="H2:I3"/>
    <mergeCell ref="C4:E4"/>
    <mergeCell ref="H4:I4"/>
    <mergeCell ref="E2:F2"/>
    <mergeCell ref="B68:I68"/>
    <mergeCell ref="F57:G57"/>
    <mergeCell ref="C51:C56"/>
    <mergeCell ref="D35:E35"/>
    <mergeCell ref="D47:E47"/>
    <mergeCell ref="F48:G48"/>
    <mergeCell ref="F47:G47"/>
    <mergeCell ref="C48:E48"/>
    <mergeCell ref="C50:D50"/>
    <mergeCell ref="C49:E49"/>
    <mergeCell ref="F62:G62"/>
    <mergeCell ref="C62:E62"/>
    <mergeCell ref="F59:G59"/>
    <mergeCell ref="C64:E64"/>
    <mergeCell ref="F64:G64"/>
    <mergeCell ref="C61:E61"/>
    <mergeCell ref="K61:M65"/>
    <mergeCell ref="F38:G38"/>
    <mergeCell ref="D41:E41"/>
    <mergeCell ref="F41:G41"/>
    <mergeCell ref="F36:G36"/>
    <mergeCell ref="F37:G37"/>
    <mergeCell ref="K37:L37"/>
    <mergeCell ref="K38:L38"/>
    <mergeCell ref="K39:M39"/>
    <mergeCell ref="C37:E37"/>
    <mergeCell ref="C39:E39"/>
  </mergeCells>
  <conditionalFormatting sqref="F19:G19">
    <cfRule type="expression" dxfId="18" priority="1">
      <formula>$M$18=0</formula>
    </cfRule>
  </conditionalFormatting>
  <conditionalFormatting sqref="H65">
    <cfRule type="notContainsBlanks" dxfId="17" priority="2">
      <formula>LEN(TRIM(H65))&gt;0</formula>
    </cfRule>
  </conditionalFormatting>
  <conditionalFormatting sqref="H7:I61 H63:I65">
    <cfRule type="cellIs" dxfId="16" priority="3" operator="equal">
      <formula>0</formula>
    </cfRule>
  </conditionalFormatting>
  <conditionalFormatting sqref="K2:M11">
    <cfRule type="expression" dxfId="15" priority="4">
      <formula>$M$3=0</formula>
    </cfRule>
  </conditionalFormatting>
  <conditionalFormatting sqref="K17:M20">
    <cfRule type="expression" dxfId="14" priority="5">
      <formula>$M$17=0</formula>
    </cfRule>
  </conditionalFormatting>
  <conditionalFormatting sqref="K34:M39">
    <cfRule type="expression" dxfId="13" priority="6">
      <formula>$K$34=0</formula>
    </cfRule>
  </conditionalFormatting>
  <printOptions horizontalCentered="1" verticalCentered="1"/>
  <pageMargins left="7.874015748031496E-2" right="7.874015748031496E-2" top="0.15748031496062992" bottom="0.1574803149606299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0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:J12"/>
    </sheetView>
  </sheetViews>
  <sheetFormatPr defaultColWidth="14.42578125" defaultRowHeight="15" customHeight="1"/>
  <cols>
    <col min="1" max="1" width="0.85546875" customWidth="1"/>
    <col min="2" max="2" width="3.7109375" customWidth="1"/>
    <col min="3" max="4" width="7.28515625" customWidth="1"/>
    <col min="5" max="5" width="20.7109375" customWidth="1"/>
    <col min="6" max="6" width="9.7109375" customWidth="1"/>
    <col min="7" max="7" width="8.7109375" customWidth="1"/>
    <col min="8" max="8" width="15" customWidth="1"/>
    <col min="9" max="9" width="14.28515625" customWidth="1"/>
    <col min="10" max="10" width="15" customWidth="1"/>
    <col min="11" max="11" width="12" customWidth="1"/>
    <col min="12" max="12" width="9.140625" customWidth="1"/>
  </cols>
  <sheetData>
    <row r="1" spans="1:12" ht="4.5" customHeight="1">
      <c r="A1" s="4"/>
      <c r="B1" s="302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9.5" customHeight="1">
      <c r="A2" s="4"/>
      <c r="B2" s="303"/>
      <c r="C2" s="304"/>
      <c r="D2" s="304"/>
      <c r="E2" s="890" t="str">
        <f>"FORM No. 16"&amp;" ("&amp;'ANNEXURE I'!B2&amp;" REGIME)"</f>
        <v>FORM No. 16 (NEW REGIME)</v>
      </c>
      <c r="F2" s="891"/>
      <c r="G2" s="891"/>
      <c r="H2" s="892"/>
      <c r="I2" s="893" t="s">
        <v>297</v>
      </c>
      <c r="J2" s="894"/>
      <c r="K2" s="305"/>
      <c r="L2" s="305"/>
    </row>
    <row r="3" spans="1:12" ht="13.5" customHeight="1">
      <c r="A3" s="4"/>
      <c r="B3" s="895"/>
      <c r="C3" s="703"/>
      <c r="D3" s="703"/>
      <c r="E3" s="896" t="s">
        <v>298</v>
      </c>
      <c r="F3" s="703"/>
      <c r="G3" s="703"/>
      <c r="H3" s="703"/>
      <c r="I3" s="897" t="str">
        <f>" ("&amp;"AGE : "&amp;AGE&amp; " Yrs)"</f>
        <v xml:space="preserve"> (AGE : 40 Yrs)</v>
      </c>
      <c r="J3" s="898"/>
      <c r="K3" s="305"/>
      <c r="L3" s="305"/>
    </row>
    <row r="4" spans="1:12" ht="13.5" customHeight="1">
      <c r="A4" s="4"/>
      <c r="B4" s="887" t="s">
        <v>299</v>
      </c>
      <c r="C4" s="888"/>
      <c r="D4" s="888"/>
      <c r="E4" s="888"/>
      <c r="F4" s="888"/>
      <c r="G4" s="888"/>
      <c r="H4" s="889"/>
      <c r="I4" s="899"/>
      <c r="J4" s="900"/>
      <c r="K4" s="4"/>
      <c r="L4" s="4"/>
    </row>
    <row r="5" spans="1:12" ht="13.5" customHeight="1">
      <c r="A5" s="4"/>
      <c r="B5" s="908" t="s">
        <v>300</v>
      </c>
      <c r="C5" s="909"/>
      <c r="D5" s="909"/>
      <c r="E5" s="909"/>
      <c r="F5" s="910"/>
      <c r="G5" s="911" t="s">
        <v>301</v>
      </c>
      <c r="H5" s="909"/>
      <c r="I5" s="909"/>
      <c r="J5" s="912"/>
      <c r="K5" s="306"/>
      <c r="L5" s="306"/>
    </row>
    <row r="6" spans="1:12" ht="13.5" customHeight="1">
      <c r="A6" s="4"/>
      <c r="B6" s="914" t="str">
        <f>DATA!R25&amp;" "&amp;UPPER(DATA!T25)</f>
        <v>Sri. G.SOMA SEKHAR</v>
      </c>
      <c r="C6" s="703"/>
      <c r="D6" s="703"/>
      <c r="E6" s="703"/>
      <c r="F6" s="703"/>
      <c r="G6" s="913" t="str">
        <f>DATA!L25&amp;" "&amp;UPPER(DATA!M25)</f>
        <v>Sri.   PERUMALLA RAMANJANEYULU</v>
      </c>
      <c r="H6" s="703"/>
      <c r="I6" s="703"/>
      <c r="J6" s="709"/>
      <c r="K6" s="306"/>
      <c r="L6" s="306"/>
    </row>
    <row r="7" spans="1:12" ht="13.5" customHeight="1">
      <c r="A7" s="4"/>
      <c r="B7" s="914" t="str">
        <f>UPPER(DATA!T26)</f>
        <v>MANDAL EDUCATIONAL OFFICER</v>
      </c>
      <c r="C7" s="703"/>
      <c r="D7" s="703"/>
      <c r="E7" s="703"/>
      <c r="F7" s="703"/>
      <c r="G7" s="913" t="str">
        <f>UPPER(DATA!M26)</f>
        <v>SECONDARY GRADE TEACHER</v>
      </c>
      <c r="H7" s="703"/>
      <c r="I7" s="703"/>
      <c r="J7" s="709"/>
      <c r="K7" s="306"/>
      <c r="L7" s="306"/>
    </row>
    <row r="8" spans="1:12" ht="13.5" customHeight="1">
      <c r="A8" s="4"/>
      <c r="B8" s="914" t="str">
        <f>UPPER(DATA!T29&amp;" - "&amp;DATA!T30)</f>
        <v>MANDAL RESOURCE CENTER - BETHAMCHERLA</v>
      </c>
      <c r="C8" s="703"/>
      <c r="D8" s="703"/>
      <c r="E8" s="703"/>
      <c r="F8" s="703"/>
      <c r="G8" s="913" t="str">
        <f>UPPER(DATA!M29&amp;" - "&amp;DATA!M30)</f>
        <v>M.P.P.SCHOOL - RAHIMANPURAM</v>
      </c>
      <c r="H8" s="703"/>
      <c r="I8" s="703"/>
      <c r="J8" s="709"/>
      <c r="K8" s="4"/>
      <c r="L8" s="4"/>
    </row>
    <row r="9" spans="1:12" ht="13.5" customHeight="1">
      <c r="A9" s="4"/>
      <c r="B9" s="915" t="str">
        <f>UPPER(DATA!T31)&amp;" (Mdl) - "&amp;UPPER(DATA!T32)&amp;" (Dt.)"</f>
        <v>BETHAMCHERLA (Mdl) - NANDYAL (Dt.)</v>
      </c>
      <c r="C9" s="829"/>
      <c r="D9" s="829"/>
      <c r="E9" s="829"/>
      <c r="F9" s="829"/>
      <c r="G9" s="916" t="str">
        <f>UPPER(DATA!M31)&amp;" (Mdl) - "&amp;UPPER(DATA!M32)&amp;" (Dt.)"</f>
        <v>BETHAMCHERLA (Mdl) - NANDYAL (Dt.)</v>
      </c>
      <c r="H9" s="829"/>
      <c r="I9" s="829"/>
      <c r="J9" s="833"/>
      <c r="K9" s="4"/>
      <c r="L9" s="4"/>
    </row>
    <row r="10" spans="1:12" ht="13.5" customHeight="1">
      <c r="A10" s="4"/>
      <c r="B10" s="917" t="s">
        <v>97</v>
      </c>
      <c r="C10" s="918"/>
      <c r="D10" s="882"/>
      <c r="E10" s="881" t="s">
        <v>104</v>
      </c>
      <c r="F10" s="882"/>
      <c r="G10" s="881" t="s">
        <v>302</v>
      </c>
      <c r="H10" s="882"/>
      <c r="I10" s="881" t="s">
        <v>303</v>
      </c>
      <c r="J10" s="883"/>
      <c r="K10" s="4"/>
      <c r="L10" s="4"/>
    </row>
    <row r="11" spans="1:12" ht="13.5" customHeight="1">
      <c r="A11" s="4"/>
      <c r="B11" s="870" t="str">
        <f>UPPER(DATA!T27)</f>
        <v>HYDM08185C</v>
      </c>
      <c r="C11" s="871"/>
      <c r="D11" s="872"/>
      <c r="E11" s="884" t="str">
        <f>UPPER(DATA!T28)</f>
        <v/>
      </c>
      <c r="F11" s="872"/>
      <c r="G11" s="884" t="str">
        <f>UPPER(DATA!M28)</f>
        <v>MYPAN1234S</v>
      </c>
      <c r="H11" s="872"/>
      <c r="I11" s="885">
        <f>DATA!M27</f>
        <v>123456</v>
      </c>
      <c r="J11" s="886"/>
      <c r="K11" s="4"/>
      <c r="L11" s="4"/>
    </row>
    <row r="12" spans="1:12" ht="12" customHeight="1">
      <c r="A12" s="4"/>
      <c r="B12" s="873" t="s">
        <v>304</v>
      </c>
      <c r="C12" s="844"/>
      <c r="D12" s="844"/>
      <c r="E12" s="844"/>
      <c r="F12" s="844"/>
      <c r="G12" s="844"/>
      <c r="H12" s="844"/>
      <c r="I12" s="844"/>
      <c r="J12" s="851"/>
      <c r="K12" s="4"/>
      <c r="L12" s="4"/>
    </row>
    <row r="13" spans="1:12" ht="14.25" customHeight="1">
      <c r="A13" s="4"/>
      <c r="B13" s="874" t="s">
        <v>305</v>
      </c>
      <c r="C13" s="875"/>
      <c r="D13" s="742"/>
      <c r="E13" s="307" t="s">
        <v>306</v>
      </c>
      <c r="F13" s="876" t="s">
        <v>307</v>
      </c>
      <c r="G13" s="742"/>
      <c r="H13" s="877" t="s">
        <v>308</v>
      </c>
      <c r="I13" s="742"/>
      <c r="J13" s="878" t="s">
        <v>309</v>
      </c>
      <c r="K13" s="4"/>
      <c r="L13" s="4"/>
    </row>
    <row r="14" spans="1:12" ht="12" customHeight="1">
      <c r="A14" s="4"/>
      <c r="B14" s="933" t="s">
        <v>310</v>
      </c>
      <c r="C14" s="829"/>
      <c r="D14" s="934"/>
      <c r="E14" s="308"/>
      <c r="F14" s="880"/>
      <c r="G14" s="742"/>
      <c r="H14" s="309" t="s">
        <v>311</v>
      </c>
      <c r="I14" s="309" t="s">
        <v>312</v>
      </c>
      <c r="J14" s="879"/>
      <c r="K14" s="4"/>
      <c r="L14" s="4"/>
    </row>
    <row r="15" spans="1:12" ht="12" customHeight="1">
      <c r="A15" s="4"/>
      <c r="B15" s="874" t="s">
        <v>313</v>
      </c>
      <c r="C15" s="875"/>
      <c r="D15" s="742"/>
      <c r="E15" s="308"/>
      <c r="F15" s="880"/>
      <c r="G15" s="742"/>
      <c r="H15" s="935">
        <f>'ANNEXURE I'!B5</f>
        <v>45352</v>
      </c>
      <c r="I15" s="935">
        <f>'ANNEXURE I'!B16</f>
        <v>45689</v>
      </c>
      <c r="J15" s="927" t="s">
        <v>314</v>
      </c>
      <c r="K15" s="4"/>
      <c r="L15" s="4"/>
    </row>
    <row r="16" spans="1:12" ht="12" customHeight="1">
      <c r="A16" s="4"/>
      <c r="B16" s="874" t="s">
        <v>315</v>
      </c>
      <c r="C16" s="875"/>
      <c r="D16" s="742"/>
      <c r="E16" s="308"/>
      <c r="F16" s="880"/>
      <c r="G16" s="742"/>
      <c r="H16" s="868"/>
      <c r="I16" s="868"/>
      <c r="J16" s="709"/>
      <c r="K16" s="4"/>
      <c r="L16" s="4"/>
    </row>
    <row r="17" spans="1:12" ht="12" customHeight="1">
      <c r="A17" s="4"/>
      <c r="B17" s="932" t="s">
        <v>316</v>
      </c>
      <c r="C17" s="789"/>
      <c r="D17" s="929"/>
      <c r="E17" s="310"/>
      <c r="F17" s="928"/>
      <c r="G17" s="929"/>
      <c r="H17" s="868"/>
      <c r="I17" s="868"/>
      <c r="J17" s="709"/>
      <c r="K17" s="4"/>
      <c r="L17" s="4"/>
    </row>
    <row r="18" spans="1:12" ht="13.5" customHeight="1">
      <c r="A18" s="4"/>
      <c r="B18" s="930" t="s">
        <v>317</v>
      </c>
      <c r="C18" s="875"/>
      <c r="D18" s="875"/>
      <c r="E18" s="875"/>
      <c r="F18" s="875"/>
      <c r="G18" s="875"/>
      <c r="H18" s="875"/>
      <c r="I18" s="875"/>
      <c r="J18" s="720"/>
      <c r="K18" s="4"/>
      <c r="L18" s="4"/>
    </row>
    <row r="19" spans="1:12" ht="13.5" customHeight="1">
      <c r="A19" s="4"/>
      <c r="B19" s="311">
        <v>1</v>
      </c>
      <c r="C19" s="931" t="s">
        <v>318</v>
      </c>
      <c r="D19" s="703"/>
      <c r="E19" s="703"/>
      <c r="F19" s="312"/>
      <c r="G19" s="312"/>
      <c r="H19" s="313"/>
      <c r="I19" s="314"/>
      <c r="J19" s="315"/>
      <c r="K19" s="4"/>
      <c r="L19" s="4"/>
    </row>
    <row r="20" spans="1:12" ht="13.5" customHeight="1">
      <c r="A20" s="4"/>
      <c r="B20" s="311"/>
      <c r="C20" s="316" t="s">
        <v>202</v>
      </c>
      <c r="D20" s="869" t="s">
        <v>319</v>
      </c>
      <c r="E20" s="703"/>
      <c r="F20" s="703"/>
      <c r="G20" s="703"/>
      <c r="H20" s="318">
        <f>'ANNEXURE II'!I7</f>
        <v>1155841</v>
      </c>
      <c r="I20" s="319">
        <f t="shared" ref="I20:I23" si="0">H20</f>
        <v>1155841</v>
      </c>
      <c r="J20" s="320"/>
      <c r="K20" s="4"/>
      <c r="L20" s="4"/>
    </row>
    <row r="21" spans="1:12" ht="13.5" customHeight="1">
      <c r="A21" s="4"/>
      <c r="B21" s="311"/>
      <c r="C21" s="316" t="s">
        <v>206</v>
      </c>
      <c r="D21" s="869" t="s">
        <v>320</v>
      </c>
      <c r="E21" s="703"/>
      <c r="F21" s="703"/>
      <c r="G21" s="703"/>
      <c r="H21" s="319">
        <v>0</v>
      </c>
      <c r="I21" s="319">
        <f t="shared" si="0"/>
        <v>0</v>
      </c>
      <c r="J21" s="320"/>
      <c r="K21" s="4"/>
      <c r="L21" s="4"/>
    </row>
    <row r="22" spans="1:12" ht="13.5" customHeight="1">
      <c r="A22" s="4"/>
      <c r="B22" s="311"/>
      <c r="C22" s="316" t="s">
        <v>209</v>
      </c>
      <c r="D22" s="869" t="s">
        <v>321</v>
      </c>
      <c r="E22" s="703"/>
      <c r="F22" s="703"/>
      <c r="G22" s="703"/>
      <c r="H22" s="319">
        <v>0</v>
      </c>
      <c r="I22" s="319">
        <f t="shared" si="0"/>
        <v>0</v>
      </c>
      <c r="J22" s="320"/>
      <c r="K22" s="4"/>
      <c r="L22" s="4"/>
    </row>
    <row r="23" spans="1:12" ht="13.5" customHeight="1">
      <c r="A23" s="4"/>
      <c r="B23" s="311"/>
      <c r="C23" s="316" t="s">
        <v>233</v>
      </c>
      <c r="D23" s="866" t="s">
        <v>322</v>
      </c>
      <c r="E23" s="703"/>
      <c r="F23" s="317"/>
      <c r="G23" s="317"/>
      <c r="H23" s="319">
        <f>SUM(H20:H22)</f>
        <v>1155841</v>
      </c>
      <c r="I23" s="319">
        <f t="shared" si="0"/>
        <v>1155841</v>
      </c>
      <c r="J23" s="322">
        <f>H23</f>
        <v>1155841</v>
      </c>
      <c r="K23" s="4"/>
      <c r="L23" s="4"/>
    </row>
    <row r="24" spans="1:12" ht="13.5" customHeight="1">
      <c r="A24" s="4"/>
      <c r="B24" s="311">
        <v>2</v>
      </c>
      <c r="C24" s="869" t="s">
        <v>323</v>
      </c>
      <c r="D24" s="703"/>
      <c r="E24" s="703"/>
      <c r="F24" s="703"/>
      <c r="G24" s="703"/>
      <c r="H24" s="323"/>
      <c r="I24" s="324"/>
      <c r="J24" s="865"/>
      <c r="K24" s="4"/>
      <c r="L24" s="4"/>
    </row>
    <row r="25" spans="1:12" ht="13.5" customHeight="1">
      <c r="A25" s="4"/>
      <c r="B25" s="311"/>
      <c r="C25" s="316" t="s">
        <v>202</v>
      </c>
      <c r="D25" s="866" t="s">
        <v>324</v>
      </c>
      <c r="E25" s="703"/>
      <c r="F25" s="703"/>
      <c r="G25" s="317"/>
      <c r="H25" s="319">
        <f>'ANNEXURE II'!I11</f>
        <v>0</v>
      </c>
      <c r="I25" s="319">
        <f t="shared" ref="I25:I26" si="1">H25</f>
        <v>0</v>
      </c>
      <c r="J25" s="833"/>
      <c r="K25" s="4"/>
      <c r="L25" s="4"/>
    </row>
    <row r="26" spans="1:12" ht="13.5" customHeight="1">
      <c r="A26" s="4"/>
      <c r="B26" s="311"/>
      <c r="C26" s="316" t="s">
        <v>206</v>
      </c>
      <c r="D26" s="321" t="s">
        <v>325</v>
      </c>
      <c r="E26" s="321"/>
      <c r="F26" s="321"/>
      <c r="G26" s="317"/>
      <c r="H26" s="319">
        <f>'ANNEXURE II'!H14</f>
        <v>0</v>
      </c>
      <c r="I26" s="318">
        <f t="shared" si="1"/>
        <v>0</v>
      </c>
      <c r="J26" s="322">
        <f>SUM(H25,H26)</f>
        <v>0</v>
      </c>
      <c r="K26" s="4"/>
      <c r="L26" s="4"/>
    </row>
    <row r="27" spans="1:12" ht="13.5" customHeight="1">
      <c r="A27" s="4"/>
      <c r="B27" s="311">
        <v>3</v>
      </c>
      <c r="C27" s="867" t="s">
        <v>326</v>
      </c>
      <c r="D27" s="703"/>
      <c r="E27" s="868"/>
      <c r="F27" s="326" t="s">
        <v>214</v>
      </c>
      <c r="G27" s="317"/>
      <c r="H27" s="327"/>
      <c r="I27" s="324"/>
      <c r="J27" s="322">
        <f>J23-J26</f>
        <v>1155841</v>
      </c>
      <c r="K27" s="4"/>
      <c r="L27" s="4"/>
    </row>
    <row r="28" spans="1:12" ht="13.5" customHeight="1">
      <c r="A28" s="4"/>
      <c r="B28" s="311">
        <v>4</v>
      </c>
      <c r="C28" s="869" t="s">
        <v>327</v>
      </c>
      <c r="D28" s="703"/>
      <c r="E28" s="703"/>
      <c r="F28" s="703"/>
      <c r="G28" s="703"/>
      <c r="H28" s="328"/>
      <c r="I28" s="324"/>
      <c r="J28" s="865"/>
      <c r="K28" s="4"/>
      <c r="L28" s="4"/>
    </row>
    <row r="29" spans="1:12" ht="13.5" customHeight="1">
      <c r="A29" s="4"/>
      <c r="B29" s="311"/>
      <c r="C29" s="316" t="s">
        <v>202</v>
      </c>
      <c r="D29" s="866" t="s">
        <v>328</v>
      </c>
      <c r="E29" s="703"/>
      <c r="F29" s="317"/>
      <c r="G29" s="317"/>
      <c r="H29" s="319">
        <f>'ANNEXURE II'!H15</f>
        <v>75000</v>
      </c>
      <c r="I29" s="319">
        <f t="shared" ref="I29:I30" si="2">H29</f>
        <v>75000</v>
      </c>
      <c r="J29" s="709"/>
      <c r="K29" s="4"/>
      <c r="L29" s="4"/>
    </row>
    <row r="30" spans="1:12" ht="13.5" customHeight="1">
      <c r="A30" s="4"/>
      <c r="B30" s="311"/>
      <c r="C30" s="316" t="s">
        <v>206</v>
      </c>
      <c r="D30" s="866" t="s">
        <v>329</v>
      </c>
      <c r="E30" s="703"/>
      <c r="F30" s="317"/>
      <c r="G30" s="317"/>
      <c r="H30" s="319">
        <f>'ANNEXURE II'!H16</f>
        <v>0</v>
      </c>
      <c r="I30" s="318">
        <f t="shared" si="2"/>
        <v>0</v>
      </c>
      <c r="J30" s="833"/>
      <c r="K30" s="4"/>
      <c r="L30" s="4"/>
    </row>
    <row r="31" spans="1:12" ht="13.5" customHeight="1">
      <c r="A31" s="4"/>
      <c r="B31" s="311">
        <v>5</v>
      </c>
      <c r="C31" s="866" t="s">
        <v>330</v>
      </c>
      <c r="D31" s="703"/>
      <c r="E31" s="703"/>
      <c r="F31" s="326" t="s">
        <v>331</v>
      </c>
      <c r="G31" s="317"/>
      <c r="H31" s="324"/>
      <c r="I31" s="324"/>
      <c r="J31" s="322">
        <f>H29+H30</f>
        <v>75000</v>
      </c>
      <c r="K31" s="4"/>
      <c r="L31" s="4"/>
    </row>
    <row r="32" spans="1:12" ht="13.5" customHeight="1">
      <c r="A32" s="4"/>
      <c r="B32" s="311">
        <v>6</v>
      </c>
      <c r="C32" s="866" t="s">
        <v>332</v>
      </c>
      <c r="D32" s="703"/>
      <c r="E32" s="703"/>
      <c r="F32" s="326" t="s">
        <v>333</v>
      </c>
      <c r="G32" s="317"/>
      <c r="H32" s="329"/>
      <c r="I32" s="329" t="s">
        <v>182</v>
      </c>
      <c r="J32" s="322">
        <f>J27-J31</f>
        <v>1080841</v>
      </c>
      <c r="K32" s="4"/>
      <c r="L32" s="4"/>
    </row>
    <row r="33" spans="1:12" ht="13.5" customHeight="1">
      <c r="A33" s="4"/>
      <c r="B33" s="311">
        <v>7</v>
      </c>
      <c r="C33" s="866" t="s">
        <v>334</v>
      </c>
      <c r="D33" s="703"/>
      <c r="E33" s="703"/>
      <c r="F33" s="703"/>
      <c r="G33" s="703"/>
      <c r="H33" s="328"/>
      <c r="I33" s="329" t="s">
        <v>182</v>
      </c>
      <c r="J33" s="330"/>
      <c r="K33" s="4"/>
      <c r="L33" s="4"/>
    </row>
    <row r="34" spans="1:12" ht="13.5" customHeight="1">
      <c r="A34" s="4"/>
      <c r="B34" s="311"/>
      <c r="C34" s="316" t="s">
        <v>202</v>
      </c>
      <c r="D34" s="866" t="str">
        <f>'ANNEXURE II'!C18</f>
        <v>INCOME FROM OTHER SOURCES</v>
      </c>
      <c r="E34" s="703"/>
      <c r="F34" s="331" t="s">
        <v>182</v>
      </c>
      <c r="G34" s="331"/>
      <c r="H34" s="319">
        <f>'ANNEXURE II'!H18</f>
        <v>0</v>
      </c>
      <c r="I34" s="319">
        <f t="shared" ref="I34:I36" si="3">H34</f>
        <v>0</v>
      </c>
      <c r="J34" s="332"/>
      <c r="K34" s="4"/>
      <c r="L34" s="4"/>
    </row>
    <row r="35" spans="1:12" ht="13.5" customHeight="1">
      <c r="A35" s="4"/>
      <c r="B35" s="311"/>
      <c r="C35" s="316" t="s">
        <v>206</v>
      </c>
      <c r="D35" s="866" t="str">
        <f>'ANNEXURE II'!C19</f>
        <v>INCOME FROM FAMILY PENSION</v>
      </c>
      <c r="E35" s="703"/>
      <c r="F35" s="926"/>
      <c r="G35" s="868"/>
      <c r="H35" s="319">
        <f>'ANNEXURE II'!H19</f>
        <v>0</v>
      </c>
      <c r="I35" s="319">
        <f t="shared" si="3"/>
        <v>0</v>
      </c>
      <c r="J35" s="332"/>
      <c r="K35" s="4"/>
      <c r="L35" s="4"/>
    </row>
    <row r="36" spans="1:12" ht="13.5" customHeight="1">
      <c r="A36" s="4"/>
      <c r="B36" s="311"/>
      <c r="C36" s="316" t="s">
        <v>206</v>
      </c>
      <c r="D36" s="866" t="str">
        <f>'ANNEXURE II'!C20</f>
        <v>Income/Loss From House Property U/s 24 (vi)</v>
      </c>
      <c r="E36" s="703"/>
      <c r="F36" s="703"/>
      <c r="G36" s="331"/>
      <c r="H36" s="319">
        <f>'ANNEXURE II'!H20</f>
        <v>0</v>
      </c>
      <c r="I36" s="319">
        <f t="shared" si="3"/>
        <v>0</v>
      </c>
      <c r="J36" s="322">
        <f>SUM(H34:H36)</f>
        <v>0</v>
      </c>
      <c r="K36" s="4"/>
      <c r="L36" s="4"/>
    </row>
    <row r="37" spans="1:12" ht="13.5" customHeight="1">
      <c r="A37" s="4"/>
      <c r="B37" s="311">
        <v>8</v>
      </c>
      <c r="C37" s="866" t="s">
        <v>253</v>
      </c>
      <c r="D37" s="703"/>
      <c r="E37" s="703"/>
      <c r="F37" s="333" t="s">
        <v>335</v>
      </c>
      <c r="G37" s="334"/>
      <c r="H37" s="329"/>
      <c r="I37" s="329" t="s">
        <v>182</v>
      </c>
      <c r="J37" s="322">
        <f>J32+J36</f>
        <v>1080841</v>
      </c>
      <c r="K37" s="4"/>
      <c r="L37" s="4"/>
    </row>
    <row r="38" spans="1:12" ht="13.5" customHeight="1">
      <c r="A38" s="4"/>
      <c r="B38" s="311">
        <v>9</v>
      </c>
      <c r="C38" s="866" t="s">
        <v>336</v>
      </c>
      <c r="D38" s="703"/>
      <c r="E38" s="703"/>
      <c r="F38" s="317"/>
      <c r="G38" s="317"/>
      <c r="H38" s="314"/>
      <c r="I38" s="314"/>
      <c r="J38" s="315"/>
      <c r="K38" s="4"/>
      <c r="L38" s="4"/>
    </row>
    <row r="39" spans="1:12" ht="13.5" customHeight="1">
      <c r="A39" s="4"/>
      <c r="B39" s="311" t="s">
        <v>337</v>
      </c>
      <c r="C39" s="866" t="s">
        <v>338</v>
      </c>
      <c r="D39" s="703"/>
      <c r="E39" s="703"/>
      <c r="F39" s="703"/>
      <c r="G39" s="335"/>
      <c r="H39" s="336" t="s">
        <v>339</v>
      </c>
      <c r="I39" s="336" t="s">
        <v>340</v>
      </c>
      <c r="J39" s="315"/>
      <c r="K39" s="4"/>
      <c r="L39" s="4"/>
    </row>
    <row r="40" spans="1:12" ht="13.5" customHeight="1">
      <c r="A40" s="4"/>
      <c r="B40" s="311"/>
      <c r="C40" s="337" t="s">
        <v>202</v>
      </c>
      <c r="D40" s="317" t="s">
        <v>341</v>
      </c>
      <c r="E40" s="866" t="str">
        <f>'ANNEXURE II'!D23</f>
        <v>GPF_CPS  :   A/c No. :  9963535304</v>
      </c>
      <c r="F40" s="703"/>
      <c r="G40" s="317"/>
      <c r="H40" s="319">
        <f>'ANNEXURE II'!H23</f>
        <v>0</v>
      </c>
      <c r="I40" s="319">
        <f t="shared" ref="I40:I53" si="4">H40</f>
        <v>0</v>
      </c>
      <c r="J40" s="338"/>
      <c r="K40" s="4"/>
      <c r="L40" s="4"/>
    </row>
    <row r="41" spans="1:12" ht="13.5" customHeight="1">
      <c r="A41" s="4"/>
      <c r="B41" s="311"/>
      <c r="C41" s="337" t="s">
        <v>206</v>
      </c>
      <c r="D41" s="317" t="s">
        <v>341</v>
      </c>
      <c r="E41" s="866" t="str">
        <f>'ANNEXURE II'!D24</f>
        <v>A.P.G.L.I.  :   A/c No. :  L-123456</v>
      </c>
      <c r="F41" s="703"/>
      <c r="G41" s="317"/>
      <c r="H41" s="319">
        <f>'ANNEXURE II'!H24</f>
        <v>0</v>
      </c>
      <c r="I41" s="319">
        <f t="shared" si="4"/>
        <v>0</v>
      </c>
      <c r="J41" s="338"/>
      <c r="K41" s="4"/>
      <c r="L41" s="4"/>
    </row>
    <row r="42" spans="1:12" ht="13.5" customHeight="1">
      <c r="A42" s="4"/>
      <c r="B42" s="311"/>
      <c r="C42" s="337" t="s">
        <v>209</v>
      </c>
      <c r="D42" s="317" t="s">
        <v>341</v>
      </c>
      <c r="E42" s="866" t="str">
        <f>'ANNEXURE II'!D25</f>
        <v>G.I.S.    ( Group Insurance Scheme )</v>
      </c>
      <c r="F42" s="703"/>
      <c r="G42" s="317"/>
      <c r="H42" s="319">
        <f>'ANNEXURE II'!H25</f>
        <v>0</v>
      </c>
      <c r="I42" s="319">
        <f t="shared" si="4"/>
        <v>0</v>
      </c>
      <c r="J42" s="338"/>
      <c r="K42" s="4"/>
      <c r="L42" s="4"/>
    </row>
    <row r="43" spans="1:12" ht="13.5" customHeight="1">
      <c r="A43" s="4"/>
      <c r="B43" s="311"/>
      <c r="C43" s="337" t="s">
        <v>233</v>
      </c>
      <c r="D43" s="317" t="s">
        <v>341</v>
      </c>
      <c r="E43" s="866" t="str">
        <f>'ANNEXURE II'!D26</f>
        <v>L.I.C. PREMIUMS (Paid by Hand)</v>
      </c>
      <c r="F43" s="703"/>
      <c r="G43" s="339"/>
      <c r="H43" s="319">
        <f>'ANNEXURE II'!H26</f>
        <v>0</v>
      </c>
      <c r="I43" s="319">
        <f t="shared" si="4"/>
        <v>0</v>
      </c>
      <c r="J43" s="338"/>
      <c r="K43" s="4"/>
      <c r="L43" s="4"/>
    </row>
    <row r="44" spans="1:12" ht="13.5" customHeight="1">
      <c r="A44" s="4"/>
      <c r="B44" s="311"/>
      <c r="C44" s="337" t="s">
        <v>234</v>
      </c>
      <c r="D44" s="317" t="s">
        <v>341</v>
      </c>
      <c r="E44" s="866" t="str">
        <f>'ANNEXURE II'!D27</f>
        <v>POSTAL LIFE INSURANCE (PLI/RPLI)</v>
      </c>
      <c r="F44" s="703"/>
      <c r="G44" s="317"/>
      <c r="H44" s="319">
        <f>'ANNEXURE II'!H27</f>
        <v>0</v>
      </c>
      <c r="I44" s="319">
        <f t="shared" si="4"/>
        <v>0</v>
      </c>
      <c r="J44" s="338"/>
      <c r="K44" s="4"/>
      <c r="L44" s="4"/>
    </row>
    <row r="45" spans="1:12" ht="13.5" customHeight="1">
      <c r="A45" s="4"/>
      <c r="B45" s="311"/>
      <c r="C45" s="337" t="s">
        <v>236</v>
      </c>
      <c r="D45" s="340" t="s">
        <v>341</v>
      </c>
      <c r="E45" s="866" t="str">
        <f>'ANNEXURE II'!D28</f>
        <v>SUKANYA SAMRIDHI YOJANA</v>
      </c>
      <c r="F45" s="703"/>
      <c r="G45" s="317"/>
      <c r="H45" s="319">
        <f>'ANNEXURE II'!H28</f>
        <v>0</v>
      </c>
      <c r="I45" s="319">
        <f t="shared" si="4"/>
        <v>0</v>
      </c>
      <c r="J45" s="338"/>
      <c r="K45" s="4"/>
      <c r="L45" s="4"/>
    </row>
    <row r="46" spans="1:12" ht="13.5" customHeight="1">
      <c r="A46" s="4"/>
      <c r="B46" s="311"/>
      <c r="C46" s="337" t="s">
        <v>237</v>
      </c>
      <c r="D46" s="317" t="s">
        <v>341</v>
      </c>
      <c r="E46" s="866" t="str">
        <f>'ANNEXURE II'!D29</f>
        <v>S.B.I. LIFE INSURANCE</v>
      </c>
      <c r="F46" s="703"/>
      <c r="G46" s="339"/>
      <c r="H46" s="319">
        <f>'ANNEXURE II'!H29</f>
        <v>0</v>
      </c>
      <c r="I46" s="319">
        <f t="shared" si="4"/>
        <v>0</v>
      </c>
      <c r="J46" s="338"/>
      <c r="K46" s="4"/>
      <c r="L46" s="4"/>
    </row>
    <row r="47" spans="1:12" ht="13.5" customHeight="1">
      <c r="A47" s="4"/>
      <c r="B47" s="311"/>
      <c r="C47" s="337" t="s">
        <v>239</v>
      </c>
      <c r="D47" s="321" t="s">
        <v>341</v>
      </c>
      <c r="E47" s="866" t="str">
        <f>'ANNEXURE II'!D30</f>
        <v>PUBLIC PROVIDENT FUND</v>
      </c>
      <c r="F47" s="703"/>
      <c r="G47" s="317"/>
      <c r="H47" s="319">
        <f>'ANNEXURE II'!H30</f>
        <v>0</v>
      </c>
      <c r="I47" s="319">
        <f t="shared" si="4"/>
        <v>0</v>
      </c>
      <c r="J47" s="338"/>
      <c r="K47" s="4"/>
      <c r="L47" s="4"/>
    </row>
    <row r="48" spans="1:12" ht="13.5" customHeight="1">
      <c r="A48" s="4"/>
      <c r="B48" s="311"/>
      <c r="C48" s="337" t="s">
        <v>240</v>
      </c>
      <c r="D48" s="317" t="s">
        <v>341</v>
      </c>
      <c r="E48" s="866" t="str">
        <f>'ANNEXURE II'!D31</f>
        <v>TUTION FEE FOR CHILDREN</v>
      </c>
      <c r="F48" s="703"/>
      <c r="G48" s="317"/>
      <c r="H48" s="319">
        <f>'ANNEXURE II'!H31</f>
        <v>0</v>
      </c>
      <c r="I48" s="319">
        <f t="shared" si="4"/>
        <v>0</v>
      </c>
      <c r="J48" s="338"/>
      <c r="K48" s="4"/>
      <c r="L48" s="4"/>
    </row>
    <row r="49" spans="1:12" ht="13.5" customHeight="1">
      <c r="A49" s="4"/>
      <c r="B49" s="311"/>
      <c r="C49" s="337" t="s">
        <v>241</v>
      </c>
      <c r="D49" s="317" t="s">
        <v>341</v>
      </c>
      <c r="E49" s="866" t="str">
        <f>'ANNEXURE II'!D32</f>
        <v>HOME LOAN PRINCIPLE AMOUNT</v>
      </c>
      <c r="F49" s="703"/>
      <c r="G49" s="339"/>
      <c r="H49" s="319">
        <f>'ANNEXURE II'!H32</f>
        <v>0</v>
      </c>
      <c r="I49" s="319">
        <f t="shared" si="4"/>
        <v>0</v>
      </c>
      <c r="J49" s="338"/>
      <c r="K49" s="4"/>
      <c r="L49" s="4"/>
    </row>
    <row r="50" spans="1:12" ht="13.5" customHeight="1">
      <c r="A50" s="4"/>
      <c r="B50" s="311"/>
      <c r="C50" s="337" t="s">
        <v>242</v>
      </c>
      <c r="D50" s="317" t="s">
        <v>341</v>
      </c>
      <c r="E50" s="866" t="str">
        <f>'ANNEXURE II'!D33</f>
        <v xml:space="preserve">STAMP DUTY &amp; REGISTRATION </v>
      </c>
      <c r="F50" s="703"/>
      <c r="G50" s="317"/>
      <c r="H50" s="319">
        <f>'ANNEXURE II'!H33</f>
        <v>0</v>
      </c>
      <c r="I50" s="319">
        <f t="shared" si="4"/>
        <v>0</v>
      </c>
      <c r="J50" s="338"/>
      <c r="K50" s="4"/>
      <c r="L50" s="4"/>
    </row>
    <row r="51" spans="1:12" ht="13.5" customHeight="1">
      <c r="A51" s="4"/>
      <c r="B51" s="311"/>
      <c r="C51" s="337" t="s">
        <v>243</v>
      </c>
      <c r="D51" s="317" t="s">
        <v>341</v>
      </c>
      <c r="E51" s="866" t="str">
        <f>'ANNEXURE II'!D34</f>
        <v>HDFC LIFE INSURANCE</v>
      </c>
      <c r="F51" s="703"/>
      <c r="G51" s="317"/>
      <c r="H51" s="319">
        <f>'ANNEXURE II'!H34</f>
        <v>0</v>
      </c>
      <c r="I51" s="319">
        <f t="shared" si="4"/>
        <v>0</v>
      </c>
      <c r="J51" s="338"/>
      <c r="K51" s="4"/>
      <c r="L51" s="4"/>
    </row>
    <row r="52" spans="1:12" ht="13.5" customHeight="1">
      <c r="A52" s="4"/>
      <c r="B52" s="311"/>
      <c r="C52" s="337" t="s">
        <v>245</v>
      </c>
      <c r="D52" s="317" t="s">
        <v>341</v>
      </c>
      <c r="E52" s="866" t="str">
        <f>'ANNEXURE II'!D35</f>
        <v>OTHERS_________________</v>
      </c>
      <c r="F52" s="703"/>
      <c r="G52" s="317"/>
      <c r="H52" s="319">
        <f>'ANNEXURE II'!H35</f>
        <v>0</v>
      </c>
      <c r="I52" s="319">
        <f t="shared" si="4"/>
        <v>0</v>
      </c>
      <c r="J52" s="341"/>
      <c r="K52" s="4"/>
      <c r="L52" s="4"/>
    </row>
    <row r="53" spans="1:12" ht="13.5" customHeight="1">
      <c r="A53" s="4"/>
      <c r="B53" s="311"/>
      <c r="C53" s="337"/>
      <c r="D53" s="317"/>
      <c r="E53" s="921" t="s">
        <v>342</v>
      </c>
      <c r="F53" s="703"/>
      <c r="G53" s="342"/>
      <c r="H53" s="319">
        <f>SUM(H40:H52)</f>
        <v>0</v>
      </c>
      <c r="I53" s="319">
        <f t="shared" si="4"/>
        <v>0</v>
      </c>
      <c r="J53" s="322">
        <f>IF(I53&lt;=150000,I53,150000)</f>
        <v>0</v>
      </c>
      <c r="K53" s="4"/>
      <c r="L53" s="4"/>
    </row>
    <row r="54" spans="1:12" ht="13.5" customHeight="1">
      <c r="A54" s="4"/>
      <c r="B54" s="311"/>
      <c r="C54" s="925" t="s">
        <v>343</v>
      </c>
      <c r="D54" s="703"/>
      <c r="E54" s="921" t="str">
        <f>'ANNEXURE II'!C37</f>
        <v>National Pension Scheme    U/s 80CCD (1)(B)</v>
      </c>
      <c r="F54" s="703"/>
      <c r="G54" s="868"/>
      <c r="H54" s="319">
        <f>'ANNEXURE II'!H37</f>
        <v>0</v>
      </c>
      <c r="I54" s="319">
        <f>MIN(50000,H54)</f>
        <v>0</v>
      </c>
      <c r="J54" s="322">
        <f>IF(I54&lt;=50000,I54,50000)</f>
        <v>0</v>
      </c>
      <c r="K54" s="4"/>
      <c r="L54" s="4"/>
    </row>
    <row r="55" spans="1:12" ht="13.5" customHeight="1">
      <c r="A55" s="4"/>
      <c r="B55" s="311"/>
      <c r="C55" s="925" t="s">
        <v>344</v>
      </c>
      <c r="D55" s="703"/>
      <c r="E55" s="921" t="str">
        <f>'ANNEXURE II'!C38</f>
        <v>National Pension Scheme    U/s 80CCD (2)</v>
      </c>
      <c r="F55" s="703"/>
      <c r="G55" s="868"/>
      <c r="H55" s="319">
        <f>'ANNEXURE II'!H38</f>
        <v>0</v>
      </c>
      <c r="I55" s="319">
        <f t="shared" ref="I55:J55" si="5">H55</f>
        <v>0</v>
      </c>
      <c r="J55" s="322">
        <f t="shared" si="5"/>
        <v>0</v>
      </c>
      <c r="K55" s="4"/>
      <c r="L55" s="4"/>
    </row>
    <row r="56" spans="1:12" ht="13.5" customHeight="1">
      <c r="A56" s="4"/>
      <c r="B56" s="311"/>
      <c r="C56" s="922" t="s">
        <v>345</v>
      </c>
      <c r="D56" s="703"/>
      <c r="E56" s="703"/>
      <c r="F56" s="703"/>
      <c r="G56" s="703"/>
      <c r="H56" s="343"/>
      <c r="I56" s="344"/>
      <c r="J56" s="322">
        <f>SUM(J53,J54,J55)</f>
        <v>0</v>
      </c>
      <c r="K56" s="345"/>
      <c r="L56" s="4"/>
    </row>
    <row r="57" spans="1:12" ht="13.5" customHeight="1">
      <c r="A57" s="4"/>
      <c r="B57" s="311"/>
      <c r="C57" s="4"/>
      <c r="D57" s="342"/>
      <c r="E57" s="342" t="str">
        <f>'ANNEXURE II'!C39</f>
        <v xml:space="preserve">GROSS  TOTAL  INCOME </v>
      </c>
      <c r="F57" s="333" t="s">
        <v>346</v>
      </c>
      <c r="G57" s="342"/>
      <c r="H57" s="923" t="str">
        <f>CONCATENATE(J37," - ",J56," = ",ROUND((J37-J56),0))</f>
        <v>1080841 - 0 = 1080841</v>
      </c>
      <c r="I57" s="742"/>
      <c r="J57" s="322">
        <f>J37-J56</f>
        <v>1080841</v>
      </c>
      <c r="K57" s="345"/>
      <c r="L57" s="4"/>
    </row>
    <row r="58" spans="1:12" ht="13.5" customHeight="1">
      <c r="A58" s="4"/>
      <c r="B58" s="311" t="s">
        <v>347</v>
      </c>
      <c r="C58" s="924" t="s">
        <v>348</v>
      </c>
      <c r="D58" s="703"/>
      <c r="E58" s="703"/>
      <c r="F58" s="346"/>
      <c r="G58" s="347"/>
      <c r="H58" s="348"/>
      <c r="I58" s="348"/>
      <c r="J58" s="315"/>
      <c r="K58" s="4"/>
      <c r="L58" s="4"/>
    </row>
    <row r="59" spans="1:12" ht="13.5" customHeight="1">
      <c r="A59" s="4"/>
      <c r="B59" s="311"/>
      <c r="C59" s="349" t="s">
        <v>202</v>
      </c>
      <c r="D59" s="350" t="s">
        <v>349</v>
      </c>
      <c r="E59" s="321" t="str">
        <f>'ANNEXURE II'!D41</f>
        <v>E.W.F &amp; S.W.F &amp; CMRF            U/s 80(G)</v>
      </c>
      <c r="F59" s="321"/>
      <c r="G59" s="351"/>
      <c r="H59" s="319">
        <f>'ANNEXURE II'!H41</f>
        <v>0</v>
      </c>
      <c r="I59" s="319">
        <f t="shared" ref="I59:I66" si="6">H59</f>
        <v>0</v>
      </c>
      <c r="J59" s="352"/>
      <c r="K59" s="4"/>
      <c r="L59" s="4"/>
    </row>
    <row r="60" spans="1:12" ht="13.5" customHeight="1">
      <c r="A60" s="4"/>
      <c r="B60" s="311"/>
      <c r="C60" s="349" t="s">
        <v>206</v>
      </c>
      <c r="D60" s="350" t="str">
        <f t="shared" ref="D60:D61" si="7">RIGHT(E60,5)</f>
        <v xml:space="preserve">24B  </v>
      </c>
      <c r="E60" s="321" t="str">
        <f>'ANNEXURE II'!D42</f>
        <v xml:space="preserve">Interest on Housing Loan Advance U/s 24B  </v>
      </c>
      <c r="F60" s="321"/>
      <c r="G60" s="351"/>
      <c r="H60" s="319">
        <f>'ANNEXURE II'!H42</f>
        <v>0</v>
      </c>
      <c r="I60" s="319">
        <f t="shared" si="6"/>
        <v>0</v>
      </c>
      <c r="J60" s="353"/>
      <c r="K60" s="4"/>
      <c r="L60" s="4"/>
    </row>
    <row r="61" spans="1:12" ht="13.5" customHeight="1">
      <c r="A61" s="4"/>
      <c r="B61" s="311"/>
      <c r="C61" s="349" t="s">
        <v>209</v>
      </c>
      <c r="D61" s="350" t="str">
        <f t="shared" si="7"/>
        <v xml:space="preserve">80E  </v>
      </c>
      <c r="E61" s="321" t="str">
        <f>'ANNEXURE II'!D43</f>
        <v xml:space="preserve">Interest on Educational Loan U/s 80E  </v>
      </c>
      <c r="F61" s="321"/>
      <c r="G61" s="351"/>
      <c r="H61" s="319">
        <f>'ANNEXURE II'!H43</f>
        <v>0</v>
      </c>
      <c r="I61" s="319">
        <f t="shared" si="6"/>
        <v>0</v>
      </c>
      <c r="J61" s="353"/>
      <c r="K61" s="4"/>
      <c r="L61" s="4"/>
    </row>
    <row r="62" spans="1:12" ht="13.5" customHeight="1">
      <c r="A62" s="4"/>
      <c r="B62" s="311"/>
      <c r="C62" s="349" t="s">
        <v>233</v>
      </c>
      <c r="D62" s="354" t="str">
        <f>RIGHT(E62,4)</f>
        <v xml:space="preserve"> 80U</v>
      </c>
      <c r="E62" s="866" t="str">
        <f>'ANNEXURE II'!D44</f>
        <v>Deduction for DISABLED (SELF) u/s 80U</v>
      </c>
      <c r="F62" s="703"/>
      <c r="G62" s="868"/>
      <c r="H62" s="319">
        <f>'ANNEXURE II'!H44</f>
        <v>0</v>
      </c>
      <c r="I62" s="319">
        <f t="shared" si="6"/>
        <v>0</v>
      </c>
      <c r="J62" s="901" t="str">
        <f>IF(I62=125000,"Severe Disability &gt;80%",IF(I62=75000,"Disability is &gt;=40% &amp;  &lt;80%",""))</f>
        <v/>
      </c>
      <c r="K62" s="4"/>
      <c r="L62" s="4"/>
    </row>
    <row r="63" spans="1:12" ht="13.5" customHeight="1">
      <c r="A63" s="4"/>
      <c r="B63" s="311"/>
      <c r="C63" s="349" t="s">
        <v>234</v>
      </c>
      <c r="D63" s="354" t="str">
        <f t="shared" ref="D63:D65" si="8">RIGHT(E63,3)</f>
        <v>80D</v>
      </c>
      <c r="E63" s="866" t="str">
        <f>'ANNEXURE II'!D45</f>
        <v>Medical Insurance Premiums     80D</v>
      </c>
      <c r="F63" s="703"/>
      <c r="G63" s="351"/>
      <c r="H63" s="319">
        <f>'ANNEXURE II'!H45</f>
        <v>0</v>
      </c>
      <c r="I63" s="319">
        <f t="shared" si="6"/>
        <v>0</v>
      </c>
      <c r="J63" s="902"/>
      <c r="K63" s="4"/>
      <c r="L63" s="4"/>
    </row>
    <row r="64" spans="1:12" ht="13.5" customHeight="1">
      <c r="A64" s="4"/>
      <c r="B64" s="311"/>
      <c r="C64" s="349" t="s">
        <v>236</v>
      </c>
      <c r="D64" s="354" t="str">
        <f t="shared" si="8"/>
        <v>80G</v>
      </c>
      <c r="E64" s="866" t="str">
        <f>'ANNEXURE II'!D46</f>
        <v>Donations of Charitable Trust    80G</v>
      </c>
      <c r="F64" s="703"/>
      <c r="G64" s="351"/>
      <c r="H64" s="319">
        <f>'ANNEXURE II'!H46</f>
        <v>0</v>
      </c>
      <c r="I64" s="319">
        <f t="shared" si="6"/>
        <v>0</v>
      </c>
      <c r="J64" s="353"/>
      <c r="K64" s="4"/>
      <c r="L64" s="4"/>
    </row>
    <row r="65" spans="1:12" ht="13.5" customHeight="1">
      <c r="A65" s="4"/>
      <c r="B65" s="311"/>
      <c r="C65" s="349" t="s">
        <v>237</v>
      </c>
      <c r="D65" s="354" t="str">
        <f t="shared" si="8"/>
        <v>80D</v>
      </c>
      <c r="E65" s="866" t="str">
        <f>'ANNEXURE II'!D47</f>
        <v>Employee Health Scheme (EHS) 80D</v>
      </c>
      <c r="F65" s="703"/>
      <c r="G65" s="351"/>
      <c r="H65" s="319">
        <f>'ANNEXURE II'!H47</f>
        <v>0</v>
      </c>
      <c r="I65" s="319">
        <f t="shared" si="6"/>
        <v>0</v>
      </c>
      <c r="J65" s="353"/>
      <c r="K65" s="4"/>
      <c r="L65" s="4"/>
    </row>
    <row r="66" spans="1:12" ht="13.5" customHeight="1">
      <c r="A66" s="4"/>
      <c r="B66" s="311"/>
      <c r="C66" s="349"/>
      <c r="D66" s="349"/>
      <c r="E66" s="919"/>
      <c r="F66" s="703"/>
      <c r="G66" s="703"/>
      <c r="H66" s="319">
        <f>SUM(H59:H65)</f>
        <v>0</v>
      </c>
      <c r="I66" s="355">
        <f t="shared" si="6"/>
        <v>0</v>
      </c>
      <c r="J66" s="322">
        <f>I66</f>
        <v>0</v>
      </c>
      <c r="K66" s="4"/>
      <c r="L66" s="4"/>
    </row>
    <row r="67" spans="1:12" ht="14.25" customHeight="1">
      <c r="A67" s="4"/>
      <c r="B67" s="311"/>
      <c r="C67" s="920" t="s">
        <v>350</v>
      </c>
      <c r="D67" s="829"/>
      <c r="E67" s="829"/>
      <c r="F67" s="829"/>
      <c r="G67" s="829"/>
      <c r="H67" s="356"/>
      <c r="I67" s="357"/>
      <c r="J67" s="325">
        <f>J56+J66</f>
        <v>0</v>
      </c>
      <c r="K67" s="4"/>
      <c r="L67" s="4"/>
    </row>
    <row r="68" spans="1:12" ht="15" customHeight="1">
      <c r="A68" s="4"/>
      <c r="B68" s="358"/>
      <c r="C68" s="906" t="s">
        <v>351</v>
      </c>
      <c r="D68" s="907"/>
      <c r="E68" s="907"/>
      <c r="F68" s="907"/>
      <c r="G68" s="907"/>
      <c r="H68" s="903" t="str">
        <f>CONCATENATE(ROUND(J37,0)," - ",ROUND(J67,0)," = ",ROUND((J37-J67),0))</f>
        <v>1080841 - 0 = 1080841</v>
      </c>
      <c r="I68" s="904"/>
      <c r="J68" s="359">
        <f>ROUND(J37-J67,-1)</f>
        <v>1080840</v>
      </c>
      <c r="K68" s="4"/>
      <c r="L68" s="4"/>
    </row>
    <row r="69" spans="1:12" ht="15" customHeight="1">
      <c r="A69" s="360"/>
      <c r="B69" s="905" t="s">
        <v>185</v>
      </c>
      <c r="C69" s="707"/>
      <c r="D69" s="707"/>
      <c r="E69" s="707"/>
      <c r="F69" s="707"/>
      <c r="G69" s="707"/>
      <c r="H69" s="707"/>
      <c r="I69" s="707"/>
      <c r="J69" s="707"/>
      <c r="K69" s="360"/>
      <c r="L69" s="360"/>
    </row>
    <row r="70" spans="1:12" ht="15.75" customHeight="1">
      <c r="A70" s="4"/>
      <c r="B70" s="302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4"/>
      <c r="B71" s="302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4"/>
      <c r="B72" s="302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4"/>
      <c r="B73" s="302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4"/>
      <c r="B74" s="302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4"/>
      <c r="B75" s="302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4"/>
      <c r="B76" s="302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4"/>
      <c r="B77" s="302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>
      <c r="A78" s="4"/>
      <c r="B78" s="302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>
      <c r="A79" s="4"/>
      <c r="B79" s="302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>
      <c r="A80" s="4"/>
      <c r="B80" s="302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/>
      <c r="B81" s="302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>
      <c r="A82" s="4"/>
      <c r="B82" s="302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>
      <c r="A83" s="4"/>
      <c r="B83" s="302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>
      <c r="A84" s="4"/>
      <c r="B84" s="302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>
      <c r="A85" s="4"/>
      <c r="B85" s="302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>
      <c r="A86" s="4"/>
      <c r="B86" s="302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>
      <c r="A87" s="4"/>
      <c r="B87" s="302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>
      <c r="A88" s="4"/>
      <c r="B88" s="302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5.75" customHeight="1">
      <c r="A89" s="4"/>
      <c r="B89" s="302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5.75" customHeight="1">
      <c r="A90" s="4"/>
      <c r="B90" s="302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5.75" customHeight="1">
      <c r="A91" s="4"/>
      <c r="B91" s="302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5.75" customHeight="1">
      <c r="A92" s="4"/>
      <c r="B92" s="302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5.75" customHeight="1">
      <c r="A93" s="4"/>
      <c r="B93" s="302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5.75" customHeight="1">
      <c r="A94" s="4"/>
      <c r="B94" s="302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5.75" customHeight="1">
      <c r="A95" s="4"/>
      <c r="B95" s="302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5.75" customHeight="1">
      <c r="A96" s="4"/>
      <c r="B96" s="302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5.75" customHeight="1">
      <c r="A97" s="4"/>
      <c r="B97" s="302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5.75" customHeight="1">
      <c r="A98" s="4"/>
      <c r="B98" s="302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5.75" customHeight="1">
      <c r="A99" s="4"/>
      <c r="B99" s="302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15.75" customHeight="1">
      <c r="A100" s="4"/>
      <c r="B100" s="302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mergeCells count="95">
    <mergeCell ref="J15:J17"/>
    <mergeCell ref="F16:G16"/>
    <mergeCell ref="F17:G17"/>
    <mergeCell ref="B18:J18"/>
    <mergeCell ref="C19:E19"/>
    <mergeCell ref="B16:D16"/>
    <mergeCell ref="B17:D17"/>
    <mergeCell ref="B15:D15"/>
    <mergeCell ref="F15:G15"/>
    <mergeCell ref="H15:H17"/>
    <mergeCell ref="I15:I17"/>
    <mergeCell ref="D20:G20"/>
    <mergeCell ref="D21:G21"/>
    <mergeCell ref="D22:G22"/>
    <mergeCell ref="D23:E23"/>
    <mergeCell ref="D30:E30"/>
    <mergeCell ref="C24:G24"/>
    <mergeCell ref="C31:E31"/>
    <mergeCell ref="C32:E32"/>
    <mergeCell ref="C33:G33"/>
    <mergeCell ref="D34:E34"/>
    <mergeCell ref="D35:E35"/>
    <mergeCell ref="F35:G35"/>
    <mergeCell ref="D36:F36"/>
    <mergeCell ref="C37:E37"/>
    <mergeCell ref="C38:E38"/>
    <mergeCell ref="C39:F39"/>
    <mergeCell ref="E40:F40"/>
    <mergeCell ref="E41:F41"/>
    <mergeCell ref="E42:F42"/>
    <mergeCell ref="E44:F44"/>
    <mergeCell ref="E45:F45"/>
    <mergeCell ref="E46:F46"/>
    <mergeCell ref="E47:F47"/>
    <mergeCell ref="E48:F48"/>
    <mergeCell ref="E43:F43"/>
    <mergeCell ref="E49:F49"/>
    <mergeCell ref="E50:F50"/>
    <mergeCell ref="E51:F51"/>
    <mergeCell ref="E52:F52"/>
    <mergeCell ref="E53:F53"/>
    <mergeCell ref="C54:D54"/>
    <mergeCell ref="E54:G54"/>
    <mergeCell ref="E66:G66"/>
    <mergeCell ref="C67:G67"/>
    <mergeCell ref="E55:G55"/>
    <mergeCell ref="C56:G56"/>
    <mergeCell ref="H57:I57"/>
    <mergeCell ref="C58:E58"/>
    <mergeCell ref="C55:D55"/>
    <mergeCell ref="E62:G62"/>
    <mergeCell ref="E63:F63"/>
    <mergeCell ref="E64:F64"/>
    <mergeCell ref="E65:F65"/>
    <mergeCell ref="J62:J63"/>
    <mergeCell ref="H68:I68"/>
    <mergeCell ref="B69:J69"/>
    <mergeCell ref="C68:G68"/>
    <mergeCell ref="B5:F5"/>
    <mergeCell ref="G5:J5"/>
    <mergeCell ref="G6:J6"/>
    <mergeCell ref="B6:F6"/>
    <mergeCell ref="B7:F7"/>
    <mergeCell ref="G7:J7"/>
    <mergeCell ref="B8:F8"/>
    <mergeCell ref="G8:J8"/>
    <mergeCell ref="B9:F9"/>
    <mergeCell ref="G9:J9"/>
    <mergeCell ref="B10:D10"/>
    <mergeCell ref="E10:F10"/>
    <mergeCell ref="B4:H4"/>
    <mergeCell ref="E2:H2"/>
    <mergeCell ref="I2:J2"/>
    <mergeCell ref="B3:D3"/>
    <mergeCell ref="E3:H3"/>
    <mergeCell ref="I3:J4"/>
    <mergeCell ref="G10:H10"/>
    <mergeCell ref="I10:J10"/>
    <mergeCell ref="E11:F11"/>
    <mergeCell ref="G11:H11"/>
    <mergeCell ref="I11:J11"/>
    <mergeCell ref="B11:D11"/>
    <mergeCell ref="B12:J12"/>
    <mergeCell ref="B13:D13"/>
    <mergeCell ref="F13:G13"/>
    <mergeCell ref="H13:I13"/>
    <mergeCell ref="J13:J14"/>
    <mergeCell ref="F14:G14"/>
    <mergeCell ref="B14:D14"/>
    <mergeCell ref="J24:J25"/>
    <mergeCell ref="D25:F25"/>
    <mergeCell ref="C27:E27"/>
    <mergeCell ref="C28:G28"/>
    <mergeCell ref="J28:J30"/>
    <mergeCell ref="D29:E29"/>
  </mergeCells>
  <conditionalFormatting sqref="H20:J37 H40:J56 H59:I59 H60:J62 H63:I63 H64:J66 J57 J67:J68">
    <cfRule type="cellIs" dxfId="12" priority="1" operator="equal">
      <formula>0</formula>
    </cfRule>
  </conditionalFormatting>
  <printOptions horizontalCentered="1" verticalCentered="1"/>
  <pageMargins left="7.874015748031496E-2" right="7.874015748031496E-2" top="0.15748031496062992" bottom="0.1574803149606299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3507DF"/>
    <pageSetUpPr fitToPage="1"/>
  </sheetPr>
  <dimension ref="A1:K10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" customHeight="1"/>
  <cols>
    <col min="1" max="1" width="1" customWidth="1"/>
    <col min="2" max="2" width="3.7109375" customWidth="1"/>
    <col min="3" max="5" width="9.7109375" customWidth="1"/>
    <col min="6" max="6" width="10.28515625" customWidth="1"/>
    <col min="7" max="9" width="12.7109375" customWidth="1"/>
    <col min="10" max="10" width="13.7109375" customWidth="1"/>
    <col min="11" max="11" width="10.85546875" customWidth="1"/>
  </cols>
  <sheetData>
    <row r="1" spans="1:11" ht="7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361">
        <v>10</v>
      </c>
      <c r="C2" s="362" t="s">
        <v>352</v>
      </c>
      <c r="D2" s="363"/>
      <c r="E2" s="363"/>
      <c r="F2" s="363"/>
      <c r="G2" s="364" t="s">
        <v>353</v>
      </c>
      <c r="H2" s="363"/>
      <c r="I2" s="365"/>
      <c r="J2" s="366">
        <f>FORM16_FRONT!J68</f>
        <v>1080840</v>
      </c>
      <c r="K2" s="305"/>
    </row>
    <row r="3" spans="1:11">
      <c r="A3" s="4"/>
      <c r="B3" s="367">
        <v>11</v>
      </c>
      <c r="C3" s="368" t="s">
        <v>284</v>
      </c>
      <c r="D3" s="369"/>
      <c r="E3" s="943" t="s">
        <v>354</v>
      </c>
      <c r="F3" s="703"/>
      <c r="G3" s="944" t="str">
        <f>" ("&amp;'ANNEXURE I'!B2&amp;" REGIME)"</f>
        <v xml:space="preserve"> (NEW REGIME)</v>
      </c>
      <c r="H3" s="945"/>
      <c r="I3" s="371"/>
      <c r="J3" s="372">
        <f>'ANNEXURE II'!I57</f>
        <v>62126</v>
      </c>
      <c r="K3" s="4"/>
    </row>
    <row r="4" spans="1:11" ht="15" customHeight="1">
      <c r="A4" s="4"/>
      <c r="B4" s="367">
        <v>12</v>
      </c>
      <c r="C4" s="946" t="s">
        <v>355</v>
      </c>
      <c r="D4" s="703"/>
      <c r="E4" s="952" t="str">
        <f>'ANNEXURE II'!F58</f>
        <v>TAX REBATE IS NOT APPLIED</v>
      </c>
      <c r="F4" s="703"/>
      <c r="G4" s="703"/>
      <c r="H4" s="868"/>
      <c r="I4" s="374"/>
      <c r="J4" s="372">
        <f>'ANNEXURE II'!I58</f>
        <v>0</v>
      </c>
      <c r="K4" s="306"/>
    </row>
    <row r="5" spans="1:11" ht="15" customHeight="1">
      <c r="A5" s="4"/>
      <c r="B5" s="367">
        <v>13</v>
      </c>
      <c r="C5" s="946" t="s">
        <v>356</v>
      </c>
      <c r="D5" s="703"/>
      <c r="E5" s="703"/>
      <c r="F5" s="375"/>
      <c r="G5" s="375"/>
      <c r="H5" s="375"/>
      <c r="I5" s="371"/>
      <c r="J5" s="372">
        <f>J3-J4</f>
        <v>62126</v>
      </c>
      <c r="K5" s="306"/>
    </row>
    <row r="6" spans="1:11" ht="15" customHeight="1">
      <c r="A6" s="4"/>
      <c r="B6" s="367">
        <v>14</v>
      </c>
      <c r="C6" s="376" t="str">
        <f>'ANNEXURE II'!C60 &amp;"  "&amp;'ANNEXURE II'!F60</f>
        <v xml:space="preserve">ADD : SURCHARGE (After Marginal Relief)  </v>
      </c>
      <c r="D6" s="375"/>
      <c r="E6" s="375"/>
      <c r="F6" s="375"/>
      <c r="G6" s="375"/>
      <c r="H6" s="375"/>
      <c r="I6" s="371"/>
      <c r="J6" s="372">
        <f>'ANNEXURE II'!I60</f>
        <v>0</v>
      </c>
      <c r="K6" s="306"/>
    </row>
    <row r="7" spans="1:11" ht="15" customHeight="1">
      <c r="A7" s="4"/>
      <c r="B7" s="367">
        <v>15</v>
      </c>
      <c r="C7" s="373" t="str">
        <f>'ANNEXURE II'!C61</f>
        <v>ADD : Health and Education Cess @ 4%</v>
      </c>
      <c r="D7" s="375"/>
      <c r="E7" s="375"/>
      <c r="F7" s="377"/>
      <c r="G7" s="370" t="s">
        <v>357</v>
      </c>
      <c r="H7" s="378"/>
      <c r="I7" s="371"/>
      <c r="J7" s="372">
        <f>'ANNEXURE II'!I61</f>
        <v>2485</v>
      </c>
      <c r="K7" s="306"/>
    </row>
    <row r="8" spans="1:11" ht="15.75">
      <c r="A8" s="4"/>
      <c r="B8" s="367">
        <v>16</v>
      </c>
      <c r="C8" s="946" t="s">
        <v>358</v>
      </c>
      <c r="D8" s="703"/>
      <c r="E8" s="703"/>
      <c r="F8" s="375"/>
      <c r="G8" s="370" t="s">
        <v>359</v>
      </c>
      <c r="H8" s="379"/>
      <c r="I8" s="371"/>
      <c r="J8" s="372">
        <f>SUM(J5:J7)</f>
        <v>64611</v>
      </c>
      <c r="K8" s="4"/>
    </row>
    <row r="9" spans="1:11" ht="15.75">
      <c r="A9" s="4"/>
      <c r="B9" s="367">
        <v>17</v>
      </c>
      <c r="C9" s="373" t="s">
        <v>360</v>
      </c>
      <c r="D9" s="375"/>
      <c r="E9" s="375"/>
      <c r="F9" s="375"/>
      <c r="G9" s="379"/>
      <c r="H9" s="379"/>
      <c r="I9" s="371"/>
      <c r="J9" s="372">
        <f>'ANNEXURE II'!H63</f>
        <v>0</v>
      </c>
      <c r="K9" s="4"/>
    </row>
    <row r="10" spans="1:11" ht="15.75">
      <c r="A10" s="4"/>
      <c r="B10" s="367">
        <v>18</v>
      </c>
      <c r="C10" s="946" t="s">
        <v>361</v>
      </c>
      <c r="D10" s="703"/>
      <c r="E10" s="703"/>
      <c r="F10" s="703"/>
      <c r="G10" s="370" t="s">
        <v>362</v>
      </c>
      <c r="H10" s="379"/>
      <c r="I10" s="371"/>
      <c r="J10" s="372">
        <f>J8-J9</f>
        <v>64611</v>
      </c>
      <c r="K10" s="4"/>
    </row>
    <row r="11" spans="1:11" ht="15.75">
      <c r="A11" s="4"/>
      <c r="B11" s="380" t="s">
        <v>363</v>
      </c>
      <c r="C11" s="381" t="s">
        <v>364</v>
      </c>
      <c r="D11" s="375"/>
      <c r="E11" s="375"/>
      <c r="F11" s="379"/>
      <c r="G11" s="379"/>
      <c r="H11" s="379"/>
      <c r="I11" s="371"/>
      <c r="J11" s="372">
        <f>'ANNEXURE II'!I64</f>
        <v>55000</v>
      </c>
      <c r="K11" s="4"/>
    </row>
    <row r="12" spans="1:11">
      <c r="A12" s="4"/>
      <c r="B12" s="382" t="s">
        <v>365</v>
      </c>
      <c r="C12" s="947" t="s">
        <v>366</v>
      </c>
      <c r="D12" s="703"/>
      <c r="E12" s="703"/>
      <c r="F12" s="703"/>
      <c r="G12" s="703"/>
      <c r="H12" s="703"/>
      <c r="I12" s="371"/>
      <c r="J12" s="372">
        <v>0</v>
      </c>
      <c r="K12" s="4"/>
    </row>
    <row r="13" spans="1:11" ht="15.75">
      <c r="A13" s="4"/>
      <c r="B13" s="383">
        <v>19</v>
      </c>
      <c r="C13" s="954" t="s">
        <v>367</v>
      </c>
      <c r="D13" s="829"/>
      <c r="E13" s="956" t="str">
        <f>'ANNEXURE II'!H65</f>
        <v/>
      </c>
      <c r="F13" s="829"/>
      <c r="G13" s="955" t="str">
        <f>FORM16_FRONT!I3</f>
        <v xml:space="preserve"> (AGE : 40 Yrs)</v>
      </c>
      <c r="H13" s="845"/>
      <c r="I13" s="384"/>
      <c r="J13" s="322">
        <f>'ANNEXURE II'!I65</f>
        <v>9611</v>
      </c>
      <c r="K13" s="4"/>
    </row>
    <row r="14" spans="1:11" ht="19.5" customHeight="1">
      <c r="A14" s="4"/>
      <c r="B14" s="932" t="s">
        <v>368</v>
      </c>
      <c r="C14" s="789"/>
      <c r="D14" s="789"/>
      <c r="E14" s="789"/>
      <c r="F14" s="789"/>
      <c r="G14" s="789"/>
      <c r="H14" s="789"/>
      <c r="I14" s="789"/>
      <c r="J14" s="791"/>
      <c r="K14" s="4"/>
    </row>
    <row r="15" spans="1:11" ht="19.5" customHeight="1">
      <c r="A15" s="4"/>
      <c r="B15" s="933" t="s">
        <v>369</v>
      </c>
      <c r="C15" s="829"/>
      <c r="D15" s="829"/>
      <c r="E15" s="829"/>
      <c r="F15" s="829"/>
      <c r="G15" s="829"/>
      <c r="H15" s="829"/>
      <c r="I15" s="829"/>
      <c r="J15" s="833"/>
      <c r="K15" s="4"/>
    </row>
    <row r="16" spans="1:11" ht="13.5" customHeight="1">
      <c r="A16" s="4"/>
      <c r="B16" s="957" t="s">
        <v>370</v>
      </c>
      <c r="C16" s="941" t="s">
        <v>371</v>
      </c>
      <c r="D16" s="941" t="s">
        <v>372</v>
      </c>
      <c r="E16" s="941" t="s">
        <v>373</v>
      </c>
      <c r="F16" s="941" t="s">
        <v>374</v>
      </c>
      <c r="G16" s="941" t="s">
        <v>375</v>
      </c>
      <c r="H16" s="941" t="s">
        <v>376</v>
      </c>
      <c r="I16" s="953" t="s">
        <v>377</v>
      </c>
      <c r="J16" s="942" t="s">
        <v>378</v>
      </c>
      <c r="K16" s="4"/>
    </row>
    <row r="17" spans="1:11" ht="13.5" customHeight="1">
      <c r="A17" s="4"/>
      <c r="B17" s="958"/>
      <c r="C17" s="938"/>
      <c r="D17" s="938"/>
      <c r="E17" s="938"/>
      <c r="F17" s="938"/>
      <c r="G17" s="938"/>
      <c r="H17" s="938"/>
      <c r="I17" s="938"/>
      <c r="J17" s="709"/>
      <c r="K17" s="4"/>
    </row>
    <row r="18" spans="1:11" ht="13.5" customHeight="1">
      <c r="A18" s="4"/>
      <c r="B18" s="959"/>
      <c r="C18" s="939"/>
      <c r="D18" s="939"/>
      <c r="E18" s="939"/>
      <c r="F18" s="939"/>
      <c r="G18" s="939"/>
      <c r="H18" s="939"/>
      <c r="I18" s="939"/>
      <c r="J18" s="833"/>
      <c r="K18" s="4"/>
    </row>
    <row r="19" spans="1:11" ht="16.5" customHeight="1">
      <c r="A19" s="4"/>
      <c r="B19" s="385">
        <v>1</v>
      </c>
      <c r="C19" s="937" t="s">
        <v>379</v>
      </c>
      <c r="D19" s="386">
        <f>'ANNEXURE I'!B5</f>
        <v>45352</v>
      </c>
      <c r="E19" s="386">
        <f t="shared" ref="E19:E29" si="0">D20</f>
        <v>45383</v>
      </c>
      <c r="F19" s="387">
        <f>IF(DATA!M3&gt;0,DATA!M3,"")</f>
        <v>5000</v>
      </c>
      <c r="G19" s="388"/>
      <c r="H19" s="388"/>
      <c r="I19" s="389"/>
      <c r="J19" s="390"/>
      <c r="K19" s="4"/>
    </row>
    <row r="20" spans="1:11" ht="16.5" customHeight="1">
      <c r="A20" s="4"/>
      <c r="B20" s="391">
        <v>2</v>
      </c>
      <c r="C20" s="938"/>
      <c r="D20" s="386">
        <f>'ANNEXURE I'!B6</f>
        <v>45383</v>
      </c>
      <c r="E20" s="386">
        <f t="shared" si="0"/>
        <v>45413</v>
      </c>
      <c r="F20" s="387">
        <f>IF(DATA!M4&gt;0,DATA!M4,"")</f>
        <v>5000</v>
      </c>
      <c r="G20" s="388"/>
      <c r="H20" s="388"/>
      <c r="I20" s="389"/>
      <c r="J20" s="390"/>
      <c r="K20" s="4"/>
    </row>
    <row r="21" spans="1:11" ht="16.5" customHeight="1">
      <c r="A21" s="4"/>
      <c r="B21" s="391">
        <v>3</v>
      </c>
      <c r="C21" s="939"/>
      <c r="D21" s="386">
        <f>'ANNEXURE I'!B7</f>
        <v>45413</v>
      </c>
      <c r="E21" s="386">
        <f t="shared" si="0"/>
        <v>45444</v>
      </c>
      <c r="F21" s="387">
        <f>IF(DATA!M5&gt;0,DATA!M5,"")</f>
        <v>5000</v>
      </c>
      <c r="G21" s="388"/>
      <c r="H21" s="388"/>
      <c r="I21" s="389"/>
      <c r="J21" s="390"/>
      <c r="K21" s="4"/>
    </row>
    <row r="22" spans="1:11" ht="16.5" customHeight="1">
      <c r="A22" s="4"/>
      <c r="B22" s="391">
        <v>4</v>
      </c>
      <c r="C22" s="937" t="s">
        <v>380</v>
      </c>
      <c r="D22" s="386">
        <f>'ANNEXURE I'!B8</f>
        <v>45444</v>
      </c>
      <c r="E22" s="386">
        <f t="shared" si="0"/>
        <v>45474</v>
      </c>
      <c r="F22" s="387">
        <f>IF(DATA!M6&gt;0,DATA!M6,"")</f>
        <v>5000</v>
      </c>
      <c r="G22" s="388"/>
      <c r="H22" s="388"/>
      <c r="I22" s="389"/>
      <c r="J22" s="390"/>
      <c r="K22" s="4"/>
    </row>
    <row r="23" spans="1:11" ht="16.5" customHeight="1">
      <c r="A23" s="4"/>
      <c r="B23" s="391">
        <v>5</v>
      </c>
      <c r="C23" s="938"/>
      <c r="D23" s="386">
        <f>'ANNEXURE I'!B9</f>
        <v>45474</v>
      </c>
      <c r="E23" s="386">
        <f t="shared" si="0"/>
        <v>45505</v>
      </c>
      <c r="F23" s="387">
        <f>IF(DATA!M7&gt;0,DATA!M7,"")</f>
        <v>5000</v>
      </c>
      <c r="G23" s="388"/>
      <c r="H23" s="388"/>
      <c r="I23" s="389"/>
      <c r="J23" s="390"/>
      <c r="K23" s="4"/>
    </row>
    <row r="24" spans="1:11" ht="16.5" customHeight="1">
      <c r="A24" s="4"/>
      <c r="B24" s="391">
        <v>6</v>
      </c>
      <c r="C24" s="939"/>
      <c r="D24" s="386">
        <f>'ANNEXURE I'!B10</f>
        <v>45505</v>
      </c>
      <c r="E24" s="386">
        <f t="shared" si="0"/>
        <v>45536</v>
      </c>
      <c r="F24" s="387">
        <f>IF(DATA!M8&gt;0,DATA!M8,"")</f>
        <v>5000</v>
      </c>
      <c r="G24" s="388"/>
      <c r="H24" s="388"/>
      <c r="I24" s="389"/>
      <c r="J24" s="390"/>
      <c r="K24" s="4"/>
    </row>
    <row r="25" spans="1:11" ht="16.5" customHeight="1">
      <c r="A25" s="4"/>
      <c r="B25" s="391">
        <v>7</v>
      </c>
      <c r="C25" s="937" t="s">
        <v>381</v>
      </c>
      <c r="D25" s="386">
        <f>'ANNEXURE I'!B11</f>
        <v>45536</v>
      </c>
      <c r="E25" s="386">
        <f t="shared" si="0"/>
        <v>45566</v>
      </c>
      <c r="F25" s="387">
        <f>IF(DATA!M9&gt;0,DATA!M9,"")</f>
        <v>5000</v>
      </c>
      <c r="G25" s="388"/>
      <c r="H25" s="388"/>
      <c r="I25" s="389"/>
      <c r="J25" s="390"/>
      <c r="K25" s="4"/>
    </row>
    <row r="26" spans="1:11" ht="16.5" customHeight="1">
      <c r="A26" s="4"/>
      <c r="B26" s="391">
        <v>8</v>
      </c>
      <c r="C26" s="938"/>
      <c r="D26" s="386">
        <f>'ANNEXURE I'!B12</f>
        <v>45566</v>
      </c>
      <c r="E26" s="386">
        <f t="shared" si="0"/>
        <v>45597</v>
      </c>
      <c r="F26" s="387">
        <f>IF(DATA!M10&gt;0,DATA!M10,"")</f>
        <v>5000</v>
      </c>
      <c r="G26" s="388"/>
      <c r="H26" s="388"/>
      <c r="I26" s="389"/>
      <c r="J26" s="390"/>
      <c r="K26" s="4"/>
    </row>
    <row r="27" spans="1:11" ht="16.5" customHeight="1">
      <c r="A27" s="4"/>
      <c r="B27" s="391">
        <v>9</v>
      </c>
      <c r="C27" s="939"/>
      <c r="D27" s="386">
        <f>'ANNEXURE I'!B13</f>
        <v>45597</v>
      </c>
      <c r="E27" s="386">
        <f t="shared" si="0"/>
        <v>45627</v>
      </c>
      <c r="F27" s="387">
        <f>IF(DATA!M11&gt;0,DATA!M11,"")</f>
        <v>5000</v>
      </c>
      <c r="G27" s="388"/>
      <c r="H27" s="388"/>
      <c r="I27" s="389"/>
      <c r="J27" s="390"/>
      <c r="K27" s="4"/>
    </row>
    <row r="28" spans="1:11" ht="16.5" customHeight="1">
      <c r="A28" s="4"/>
      <c r="B28" s="391">
        <v>10</v>
      </c>
      <c r="C28" s="937" t="s">
        <v>382</v>
      </c>
      <c r="D28" s="386">
        <f>'ANNEXURE I'!B14</f>
        <v>45627</v>
      </c>
      <c r="E28" s="386">
        <f t="shared" si="0"/>
        <v>45658</v>
      </c>
      <c r="F28" s="387">
        <f>IF(DATA!M12&gt;0,DATA!M12,"")</f>
        <v>5000</v>
      </c>
      <c r="G28" s="388"/>
      <c r="H28" s="388"/>
      <c r="I28" s="389"/>
      <c r="J28" s="390"/>
      <c r="K28" s="4"/>
    </row>
    <row r="29" spans="1:11" ht="16.5" customHeight="1">
      <c r="A29" s="4"/>
      <c r="B29" s="391">
        <v>11</v>
      </c>
      <c r="C29" s="938"/>
      <c r="D29" s="386">
        <f>'ANNEXURE I'!B15</f>
        <v>45658</v>
      </c>
      <c r="E29" s="386">
        <f t="shared" si="0"/>
        <v>45689</v>
      </c>
      <c r="F29" s="387">
        <f>IF(DATA!M13&gt;0,DATA!M13,"")</f>
        <v>5000</v>
      </c>
      <c r="G29" s="388"/>
      <c r="H29" s="388"/>
      <c r="I29" s="389"/>
      <c r="J29" s="390"/>
      <c r="K29" s="4"/>
    </row>
    <row r="30" spans="1:11" ht="16.5" customHeight="1">
      <c r="A30" s="4"/>
      <c r="B30" s="392">
        <v>12</v>
      </c>
      <c r="C30" s="939"/>
      <c r="D30" s="386">
        <f>'ANNEXURE I'!B16</f>
        <v>45689</v>
      </c>
      <c r="E30" s="386">
        <f>E29+32</f>
        <v>45721</v>
      </c>
      <c r="F30" s="387" t="str">
        <f>IF(DATA!M14&gt;0,DATA!M14,"")</f>
        <v/>
      </c>
      <c r="G30" s="388"/>
      <c r="H30" s="388"/>
      <c r="I30" s="389"/>
      <c r="J30" s="390"/>
      <c r="K30" s="4"/>
    </row>
    <row r="31" spans="1:11" ht="16.5" customHeight="1">
      <c r="A31" s="4"/>
      <c r="B31" s="393"/>
      <c r="C31" s="387" t="str">
        <f>IF(SUM(C19:C30)&lt;=0,"",SUM(C19:C30))</f>
        <v/>
      </c>
      <c r="D31" s="940" t="s">
        <v>383</v>
      </c>
      <c r="E31" s="742"/>
      <c r="F31" s="387">
        <f>IF(SUM(F19:F30)&lt;=0,"",SUM(F19:F30))</f>
        <v>55000</v>
      </c>
      <c r="G31" s="394"/>
      <c r="H31" s="394"/>
      <c r="I31" s="394"/>
      <c r="J31" s="390"/>
      <c r="K31" s="4"/>
    </row>
    <row r="32" spans="1:11" ht="16.5" customHeight="1">
      <c r="A32" s="4"/>
      <c r="B32" s="395"/>
      <c r="C32" s="396">
        <f>'ANNEXURE II'!I62</f>
        <v>64611</v>
      </c>
      <c r="D32" s="397" t="str">
        <f>'ANNEXURE II'!K61</f>
        <v xml:space="preserve">Sixty Four Thousand Six Hundred and Eleven Rupees </v>
      </c>
      <c r="E32" s="398"/>
      <c r="F32" s="399"/>
      <c r="G32" s="398"/>
      <c r="H32" s="398"/>
      <c r="I32" s="398"/>
      <c r="J32" s="400"/>
      <c r="K32" s="4"/>
    </row>
    <row r="33" spans="1:11" ht="18" customHeight="1">
      <c r="A33" s="4"/>
      <c r="B33" s="961" t="s">
        <v>384</v>
      </c>
      <c r="C33" s="703"/>
      <c r="D33" s="703"/>
      <c r="E33" s="703"/>
      <c r="F33" s="703"/>
      <c r="G33" s="703"/>
      <c r="H33" s="703"/>
      <c r="I33" s="703"/>
      <c r="J33" s="709"/>
      <c r="K33" s="4"/>
    </row>
    <row r="34" spans="1:11" ht="17.25" customHeight="1">
      <c r="A34" s="4"/>
      <c r="B34" s="401"/>
      <c r="C34" s="962" t="str">
        <f>CONCATENATE("         I ",DATA!R25," ",UPPER(DATA!T25),"  working in the capacity of  ",UPPER(DATA!T26)," do hereby certify  that the  sum of Rs./-  ",J8,"  (",'ANNEXURE II'!K61,") has been deducted at source and  paid  to  the credit of the central Government.        I further certify that the Information  given above is true, complete and correct based on the books of account , documents and other available records.")</f>
        <v xml:space="preserve">         I Sri. G.SOMA SEKHAR  working in the capacity of  MANDAL EDUCATIONAL OFFICER do hereby certify  that the  sum of Rs./-  64611  (Sixty Four Thousand Six Hundred and Eleven Rupees ) has been deducted at source and  paid  to  the credit of the central Government.        I further certify that the Information  given above is true, complete and correct based on the books of account , documents and other available records.</v>
      </c>
      <c r="D34" s="703"/>
      <c r="E34" s="703"/>
      <c r="F34" s="703"/>
      <c r="G34" s="703"/>
      <c r="H34" s="703"/>
      <c r="I34" s="703"/>
      <c r="J34" s="709"/>
      <c r="K34" s="4"/>
    </row>
    <row r="35" spans="1:11" ht="17.25" customHeight="1">
      <c r="A35" s="4"/>
      <c r="B35" s="402"/>
      <c r="C35" s="703"/>
      <c r="D35" s="703"/>
      <c r="E35" s="703"/>
      <c r="F35" s="703"/>
      <c r="G35" s="703"/>
      <c r="H35" s="703"/>
      <c r="I35" s="703"/>
      <c r="J35" s="709"/>
      <c r="K35" s="4"/>
    </row>
    <row r="36" spans="1:11" ht="17.25" customHeight="1">
      <c r="A36" s="4"/>
      <c r="B36" s="402"/>
      <c r="C36" s="703"/>
      <c r="D36" s="703"/>
      <c r="E36" s="703"/>
      <c r="F36" s="703"/>
      <c r="G36" s="703"/>
      <c r="H36" s="703"/>
      <c r="I36" s="703"/>
      <c r="J36" s="709"/>
      <c r="K36" s="4"/>
    </row>
    <row r="37" spans="1:11" ht="17.25" customHeight="1">
      <c r="A37" s="4"/>
      <c r="B37" s="402"/>
      <c r="C37" s="703"/>
      <c r="D37" s="703"/>
      <c r="E37" s="703"/>
      <c r="F37" s="703"/>
      <c r="G37" s="703"/>
      <c r="H37" s="703"/>
      <c r="I37" s="703"/>
      <c r="J37" s="709"/>
      <c r="K37" s="4"/>
    </row>
    <row r="38" spans="1:11" ht="17.25" customHeight="1">
      <c r="A38" s="4"/>
      <c r="B38" s="403" t="s">
        <v>385</v>
      </c>
      <c r="C38" s="703"/>
      <c r="D38" s="703"/>
      <c r="E38" s="703"/>
      <c r="F38" s="703"/>
      <c r="G38" s="703"/>
      <c r="H38" s="703"/>
      <c r="I38" s="703"/>
      <c r="J38" s="709"/>
      <c r="K38" s="4"/>
    </row>
    <row r="39" spans="1:11" ht="17.25" customHeight="1">
      <c r="A39" s="4"/>
      <c r="B39" s="403" t="s">
        <v>386</v>
      </c>
      <c r="C39" s="703"/>
      <c r="D39" s="703"/>
      <c r="E39" s="703"/>
      <c r="F39" s="703"/>
      <c r="G39" s="703"/>
      <c r="H39" s="703"/>
      <c r="I39" s="703"/>
      <c r="J39" s="709"/>
      <c r="K39" s="4"/>
    </row>
    <row r="40" spans="1:11" ht="17.25" customHeight="1">
      <c r="A40" s="4"/>
      <c r="B40" s="403"/>
      <c r="C40" s="703"/>
      <c r="D40" s="703"/>
      <c r="E40" s="703"/>
      <c r="F40" s="703"/>
      <c r="G40" s="703"/>
      <c r="H40" s="703"/>
      <c r="I40" s="703"/>
      <c r="J40" s="709"/>
      <c r="K40" s="4"/>
    </row>
    <row r="41" spans="1:11" ht="39.75" customHeight="1">
      <c r="A41" s="4"/>
      <c r="B41" s="404"/>
      <c r="C41" s="405"/>
      <c r="D41" s="405"/>
      <c r="E41" s="405"/>
      <c r="F41" s="406"/>
      <c r="G41" s="407"/>
      <c r="H41" s="407"/>
      <c r="I41" s="407"/>
      <c r="J41" s="408"/>
      <c r="K41" s="4"/>
    </row>
    <row r="42" spans="1:11" ht="15" customHeight="1">
      <c r="A42" s="4"/>
      <c r="B42" s="409"/>
      <c r="C42" s="410" t="s">
        <v>387</v>
      </c>
      <c r="D42" s="963" t="str">
        <f>UPPER(DATA!T30)</f>
        <v>BETHAMCHERLA</v>
      </c>
      <c r="E42" s="703"/>
      <c r="F42" s="964" t="s">
        <v>388</v>
      </c>
      <c r="G42" s="703"/>
      <c r="H42" s="703"/>
      <c r="I42" s="703"/>
      <c r="J42" s="709"/>
      <c r="K42" s="4"/>
    </row>
    <row r="43" spans="1:11" ht="15" customHeight="1">
      <c r="A43" s="4"/>
      <c r="B43" s="409"/>
      <c r="C43" s="410" t="s">
        <v>389</v>
      </c>
      <c r="D43" s="960">
        <f ca="1">TODAY()</f>
        <v>45629</v>
      </c>
      <c r="E43" s="703"/>
      <c r="F43" s="161"/>
      <c r="G43" s="410" t="s">
        <v>390</v>
      </c>
      <c r="H43" s="936" t="str">
        <f>FORM16_FRONT!B6</f>
        <v>Sri. G.SOMA SEKHAR</v>
      </c>
      <c r="I43" s="703"/>
      <c r="J43" s="709"/>
      <c r="K43" s="4"/>
    </row>
    <row r="44" spans="1:11" ht="15" customHeight="1">
      <c r="A44" s="4"/>
      <c r="B44" s="411"/>
      <c r="C44" s="412"/>
      <c r="D44" s="413"/>
      <c r="E44" s="414"/>
      <c r="F44" s="161"/>
      <c r="G44" s="410" t="s">
        <v>391</v>
      </c>
      <c r="H44" s="936" t="str">
        <f>FORM16_FRONT!B7</f>
        <v>MANDAL EDUCATIONAL OFFICER</v>
      </c>
      <c r="I44" s="703"/>
      <c r="J44" s="709"/>
      <c r="K44" s="4"/>
    </row>
    <row r="45" spans="1:11" ht="15" customHeight="1">
      <c r="A45" s="4"/>
      <c r="B45" s="411"/>
      <c r="C45" s="412"/>
      <c r="D45" s="412"/>
      <c r="E45" s="412"/>
      <c r="F45" s="161"/>
      <c r="G45" s="410" t="s">
        <v>150</v>
      </c>
      <c r="H45" s="936" t="str">
        <f>FORM16_FRONT!B8</f>
        <v>MANDAL RESOURCE CENTER - BETHAMCHERLA</v>
      </c>
      <c r="I45" s="703"/>
      <c r="J45" s="709"/>
      <c r="K45" s="4"/>
    </row>
    <row r="46" spans="1:11" ht="15" customHeight="1">
      <c r="A46" s="4"/>
      <c r="B46" s="411"/>
      <c r="C46" s="412"/>
      <c r="D46" s="412"/>
      <c r="E46" s="412"/>
      <c r="F46" s="161"/>
      <c r="G46" s="410" t="s">
        <v>392</v>
      </c>
      <c r="H46" s="936" t="str">
        <f>UPPER(DATA!T31)</f>
        <v>BETHAMCHERLA</v>
      </c>
      <c r="I46" s="703"/>
      <c r="J46" s="709"/>
      <c r="K46" s="4"/>
    </row>
    <row r="47" spans="1:11" ht="15" customHeight="1">
      <c r="A47" s="4"/>
      <c r="B47" s="411"/>
      <c r="C47" s="412"/>
      <c r="D47" s="412"/>
      <c r="E47" s="412"/>
      <c r="F47" s="161"/>
      <c r="G47" s="410" t="s">
        <v>393</v>
      </c>
      <c r="H47" s="936" t="str">
        <f>UPPER(DATA!T32)&amp;" (Dt.)"</f>
        <v>NANDYAL (Dt.)</v>
      </c>
      <c r="I47" s="703"/>
      <c r="J47" s="709"/>
      <c r="K47" s="4"/>
    </row>
    <row r="48" spans="1:11" ht="12" customHeight="1">
      <c r="A48" s="4"/>
      <c r="B48" s="411"/>
      <c r="C48" s="412"/>
      <c r="D48" s="412"/>
      <c r="E48" s="412"/>
      <c r="F48" s="4"/>
      <c r="G48" s="415"/>
      <c r="H48" s="416"/>
      <c r="I48" s="416"/>
      <c r="J48" s="417"/>
      <c r="K48" s="4"/>
    </row>
    <row r="49" spans="1:11" ht="15.75" customHeight="1">
      <c r="A49" s="4"/>
      <c r="B49" s="418" t="s">
        <v>394</v>
      </c>
      <c r="C49" s="948" t="s">
        <v>395</v>
      </c>
      <c r="D49" s="949"/>
      <c r="E49" s="949"/>
      <c r="F49" s="949"/>
      <c r="G49" s="949"/>
      <c r="H49" s="949"/>
      <c r="I49" s="949"/>
      <c r="J49" s="898"/>
      <c r="K49" s="4"/>
    </row>
    <row r="50" spans="1:11" ht="15.75" customHeight="1">
      <c r="A50" s="4"/>
      <c r="B50" s="419" t="s">
        <v>396</v>
      </c>
      <c r="C50" s="950" t="s">
        <v>397</v>
      </c>
      <c r="D50" s="675"/>
      <c r="E50" s="675"/>
      <c r="F50" s="675"/>
      <c r="G50" s="675"/>
      <c r="H50" s="675"/>
      <c r="I50" s="675"/>
      <c r="J50" s="696"/>
      <c r="K50" s="4"/>
    </row>
    <row r="51" spans="1:11" ht="15.75" customHeight="1">
      <c r="A51" s="4"/>
      <c r="B51" s="951" t="s">
        <v>185</v>
      </c>
      <c r="C51" s="707"/>
      <c r="D51" s="707"/>
      <c r="E51" s="707"/>
      <c r="F51" s="707"/>
      <c r="G51" s="707"/>
      <c r="H51" s="707"/>
      <c r="I51" s="707"/>
      <c r="J51" s="707"/>
      <c r="K51" s="4"/>
    </row>
    <row r="52" spans="1:11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mergeCells count="40">
    <mergeCell ref="C49:J49"/>
    <mergeCell ref="C50:J50"/>
    <mergeCell ref="B51:J51"/>
    <mergeCell ref="C4:D4"/>
    <mergeCell ref="E4:H4"/>
    <mergeCell ref="C5:E5"/>
    <mergeCell ref="F16:F18"/>
    <mergeCell ref="G16:G18"/>
    <mergeCell ref="H16:H18"/>
    <mergeCell ref="I16:I18"/>
    <mergeCell ref="C13:D13"/>
    <mergeCell ref="G13:H13"/>
    <mergeCell ref="E13:F13"/>
    <mergeCell ref="B14:J14"/>
    <mergeCell ref="B15:J15"/>
    <mergeCell ref="B16:B18"/>
    <mergeCell ref="E3:F3"/>
    <mergeCell ref="G3:H3"/>
    <mergeCell ref="C8:E8"/>
    <mergeCell ref="C12:H12"/>
    <mergeCell ref="C10:F10"/>
    <mergeCell ref="C16:C18"/>
    <mergeCell ref="J16:J18"/>
    <mergeCell ref="D16:D18"/>
    <mergeCell ref="E16:E18"/>
    <mergeCell ref="C19:C21"/>
    <mergeCell ref="H45:J45"/>
    <mergeCell ref="H46:J46"/>
    <mergeCell ref="H47:J47"/>
    <mergeCell ref="C22:C24"/>
    <mergeCell ref="C25:C27"/>
    <mergeCell ref="C28:C30"/>
    <mergeCell ref="D31:E31"/>
    <mergeCell ref="H44:J44"/>
    <mergeCell ref="D43:E43"/>
    <mergeCell ref="H43:J43"/>
    <mergeCell ref="B33:J33"/>
    <mergeCell ref="C34:J40"/>
    <mergeCell ref="D42:E42"/>
    <mergeCell ref="F42:J42"/>
  </mergeCells>
  <conditionalFormatting sqref="I2:J13">
    <cfRule type="cellIs" dxfId="11" priority="1" operator="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42578125" defaultRowHeight="15" customHeight="1"/>
  <cols>
    <col min="1" max="1" width="1.28515625" customWidth="1"/>
    <col min="2" max="2" width="2.7109375" customWidth="1"/>
    <col min="3" max="3" width="31.7109375" customWidth="1"/>
    <col min="4" max="4" width="14.7109375" customWidth="1"/>
    <col min="5" max="5" width="38.7109375" customWidth="1"/>
    <col min="6" max="6" width="2.7109375" customWidth="1"/>
    <col min="7" max="11" width="9.140625" customWidth="1"/>
  </cols>
  <sheetData>
    <row r="1" spans="1:11" ht="4.5" customHeight="1">
      <c r="A1" s="4"/>
      <c r="B1" s="4"/>
      <c r="C1" s="4"/>
      <c r="D1" s="4" t="s">
        <v>398</v>
      </c>
      <c r="E1" s="4"/>
      <c r="F1" s="4"/>
      <c r="G1" s="4"/>
      <c r="H1" s="4"/>
      <c r="I1" s="4"/>
      <c r="J1" s="4"/>
      <c r="K1" s="4"/>
    </row>
    <row r="2" spans="1:11" ht="18" customHeight="1">
      <c r="A2" s="4"/>
      <c r="B2" s="971" t="s">
        <v>399</v>
      </c>
      <c r="C2" s="707"/>
      <c r="D2" s="707"/>
      <c r="E2" s="707"/>
      <c r="F2" s="690"/>
      <c r="G2" s="4"/>
      <c r="H2" s="4"/>
      <c r="I2" s="4"/>
      <c r="J2" s="4"/>
      <c r="K2" s="4"/>
    </row>
    <row r="3" spans="1:11" ht="18" customHeight="1">
      <c r="A3" s="4"/>
      <c r="B3" s="972"/>
      <c r="C3" s="738"/>
      <c r="D3" s="738"/>
      <c r="E3" s="738"/>
      <c r="F3" s="973"/>
      <c r="G3" s="4"/>
      <c r="H3" s="4"/>
      <c r="I3" s="4"/>
      <c r="J3" s="4"/>
      <c r="K3" s="4"/>
    </row>
    <row r="4" spans="1:11" ht="19.5" customHeight="1">
      <c r="A4" s="4"/>
      <c r="B4" s="974" t="s">
        <v>400</v>
      </c>
      <c r="C4" s="703"/>
      <c r="D4" s="703"/>
      <c r="E4" s="703"/>
      <c r="F4" s="709"/>
      <c r="G4" s="4"/>
      <c r="H4" s="4"/>
      <c r="I4" s="4"/>
      <c r="J4" s="4"/>
      <c r="K4" s="4"/>
    </row>
    <row r="5" spans="1:11" ht="19.5" customHeight="1">
      <c r="A5" s="4"/>
      <c r="B5" s="420"/>
      <c r="C5" s="975" t="str">
        <f>CONCATENATE("           Received a sum of ( ",DATA!E13," Month House Rent Amount ) "," Rs. ",'ANNEXURE II'!M3," (",'ANNEXURE II'!O3,")"," from : ",DATA!L25," ",UPPER(DATA!M25)," (Tenant) working as ",UPPER(DATA!M26)," , at  ",UPPER(DATA!M29)," - ",UPPER(DATA!M30)," Village towards the rent @ Rs. ",DATA!E12," per month during the financial year : 2024-2025 (AY : 2025-26)  in respect of ...... CASH / CHEQUE / MONEY TRANSFER / UPI PAYMENTS / OTHERS.    (Strikeout which is not applicable to you.)")</f>
        <v xml:space="preserve">           Received a sum of ( 12 Month House Rent Amount )  Rs. 99600 (Ninety Nine Thousand Six Hundred Rupees ) from : Sri.   PERUMALLA RAMANJANEYULU (Tenant) working as SECONDARY GRADE TEACHER , at  M.P.P.SCHOOL - RAHIMANPURAM Village towards the rent @ Rs. 8300 per month during the financial year : 2024-2025 (AY : 2025-26)  in respect of ...... CASH / CHEQUE / MONEY TRANSFER / UPI PAYMENTS / OTHERS.    (Strikeout which is not applicable to you.)</v>
      </c>
      <c r="D5" s="703"/>
      <c r="E5" s="703"/>
      <c r="F5" s="421"/>
      <c r="G5" s="4"/>
      <c r="H5" s="4"/>
      <c r="I5" s="4"/>
      <c r="J5" s="4"/>
      <c r="K5" s="4"/>
    </row>
    <row r="6" spans="1:11" ht="27" customHeight="1">
      <c r="A6" s="4"/>
      <c r="B6" s="420"/>
      <c r="C6" s="703"/>
      <c r="D6" s="703"/>
      <c r="E6" s="703"/>
      <c r="F6" s="421"/>
      <c r="G6" s="4"/>
      <c r="H6" s="4"/>
      <c r="I6" s="4"/>
      <c r="J6" s="4"/>
      <c r="K6" s="4"/>
    </row>
    <row r="7" spans="1:11" ht="27" customHeight="1">
      <c r="A7" s="4"/>
      <c r="B7" s="420"/>
      <c r="C7" s="703"/>
      <c r="D7" s="703"/>
      <c r="E7" s="703"/>
      <c r="F7" s="421"/>
      <c r="G7" s="4"/>
      <c r="H7" s="4"/>
      <c r="I7" s="4"/>
      <c r="J7" s="4"/>
      <c r="K7" s="4"/>
    </row>
    <row r="8" spans="1:11" ht="27" customHeight="1">
      <c r="A8" s="4"/>
      <c r="B8" s="420"/>
      <c r="C8" s="703"/>
      <c r="D8" s="703"/>
      <c r="E8" s="703"/>
      <c r="F8" s="421"/>
      <c r="G8" s="4"/>
      <c r="H8" s="4"/>
      <c r="I8" s="4"/>
      <c r="J8" s="4"/>
      <c r="K8" s="4"/>
    </row>
    <row r="9" spans="1:11" ht="27" customHeight="1">
      <c r="A9" s="4"/>
      <c r="B9" s="420"/>
      <c r="C9" s="703"/>
      <c r="D9" s="703"/>
      <c r="E9" s="703"/>
      <c r="F9" s="421"/>
      <c r="G9" s="4"/>
      <c r="H9" s="4"/>
      <c r="I9" s="4"/>
      <c r="J9" s="4"/>
      <c r="K9" s="4"/>
    </row>
    <row r="10" spans="1:11" ht="27" customHeight="1">
      <c r="A10" s="4"/>
      <c r="B10" s="420"/>
      <c r="C10" s="703"/>
      <c r="D10" s="703"/>
      <c r="E10" s="703"/>
      <c r="F10" s="421"/>
      <c r="G10" s="4"/>
      <c r="H10" s="4"/>
      <c r="I10" s="4"/>
      <c r="J10" s="4"/>
      <c r="K10" s="4"/>
    </row>
    <row r="11" spans="1:11" ht="15.75" customHeight="1">
      <c r="A11" s="4"/>
      <c r="B11" s="422"/>
      <c r="C11" s="976" t="s">
        <v>401</v>
      </c>
      <c r="D11" s="703"/>
      <c r="E11" s="977" t="str">
        <f>IF(DATA!E12&gt;=8333,CONCATENATE("PAN OF OWNER  : ",DATA!Y31),"")</f>
        <v/>
      </c>
      <c r="F11" s="709"/>
      <c r="G11" s="4"/>
      <c r="H11" s="4"/>
      <c r="I11" s="4"/>
      <c r="J11" s="4"/>
      <c r="K11" s="4"/>
    </row>
    <row r="12" spans="1:11" ht="15.75" customHeight="1">
      <c r="A12" s="4"/>
      <c r="B12" s="422"/>
      <c r="C12" s="703"/>
      <c r="D12" s="703"/>
      <c r="E12" s="703"/>
      <c r="F12" s="709"/>
      <c r="G12" s="4"/>
      <c r="H12" s="4"/>
      <c r="I12" s="4"/>
      <c r="J12" s="4"/>
      <c r="K12" s="4"/>
    </row>
    <row r="13" spans="1:11" ht="15.75" customHeight="1">
      <c r="A13" s="4"/>
      <c r="B13" s="422"/>
      <c r="C13" s="963" t="str">
        <f>DATA!L25&amp;" "&amp;UPPER(DATA!M25)</f>
        <v>Sri.   PERUMALLA RAMANJANEYULU</v>
      </c>
      <c r="D13" s="703"/>
      <c r="E13" s="340"/>
      <c r="F13" s="423"/>
      <c r="G13" s="4"/>
      <c r="H13" s="4"/>
      <c r="I13" s="4"/>
      <c r="J13" s="4"/>
      <c r="K13" s="4"/>
    </row>
    <row r="14" spans="1:11" ht="15.75" customHeight="1">
      <c r="A14" s="4"/>
      <c r="B14" s="422"/>
      <c r="C14" s="963" t="str">
        <f>IF(DATA!Y25="","_________________________ (Owner's Name)","C/o. : "&amp;DATA!X25&amp;UPPER(DATA!Y25))</f>
        <v>_________________________ (Owner's Name)</v>
      </c>
      <c r="D14" s="703"/>
      <c r="E14" s="340"/>
      <c r="F14" s="423"/>
      <c r="G14" s="4"/>
      <c r="H14" s="4"/>
      <c r="I14" s="4"/>
      <c r="J14" s="4"/>
      <c r="K14" s="4"/>
    </row>
    <row r="15" spans="1:11" ht="15.75" customHeight="1">
      <c r="A15" s="4"/>
      <c r="B15" s="422"/>
      <c r="C15" s="963" t="str">
        <f>IF(DATA!Y26="","_________________________ (House No.)","House No.  :    "&amp;UPPER(DATA!Y26))</f>
        <v>_________________________ (House No.)</v>
      </c>
      <c r="D15" s="703"/>
      <c r="E15" s="335"/>
      <c r="F15" s="423"/>
      <c r="G15" s="4"/>
      <c r="H15" s="4"/>
      <c r="I15" s="4"/>
      <c r="J15" s="4"/>
      <c r="K15" s="4"/>
    </row>
    <row r="16" spans="1:11" ht="15.75" customHeight="1">
      <c r="A16" s="4"/>
      <c r="B16" s="422"/>
      <c r="C16" s="963" t="str">
        <f>IF(DATA!Y27="","_________________________ (Street)",UPPER(DATA!Y27))</f>
        <v>_________________________ (Street)</v>
      </c>
      <c r="D16" s="703"/>
      <c r="E16" s="161"/>
      <c r="F16" s="423"/>
      <c r="G16" s="4"/>
      <c r="H16" s="4"/>
      <c r="I16" s="4"/>
      <c r="J16" s="4"/>
      <c r="K16" s="4"/>
    </row>
    <row r="17" spans="1:11" ht="15.75" customHeight="1">
      <c r="A17" s="4"/>
      <c r="B17" s="422"/>
      <c r="C17" s="963" t="str">
        <f>IF(DATA!Y28="","_________________________ (Village)",UPPER(DATA!Y28)&amp;"  Village")</f>
        <v>_________________________ (Village)</v>
      </c>
      <c r="D17" s="703"/>
      <c r="E17" s="335"/>
      <c r="F17" s="423"/>
      <c r="G17" s="4"/>
      <c r="H17" s="4"/>
      <c r="I17" s="4"/>
      <c r="J17" s="4"/>
      <c r="K17" s="4"/>
    </row>
    <row r="18" spans="1:11" ht="15.75" customHeight="1">
      <c r="A18" s="4"/>
      <c r="B18" s="422"/>
      <c r="C18" s="963" t="str">
        <f>IF(DATA!Y29="","_________________________ (Mandal)",UPPER(DATA!Y29)&amp;"  Mandal")</f>
        <v>_________________________ (Mandal)</v>
      </c>
      <c r="D18" s="703"/>
      <c r="E18" s="424"/>
      <c r="F18" s="423"/>
      <c r="G18" s="4"/>
      <c r="H18" s="4"/>
      <c r="I18" s="4"/>
      <c r="J18" s="4"/>
      <c r="K18" s="4"/>
    </row>
    <row r="19" spans="1:11" ht="15" customHeight="1">
      <c r="A19" s="4"/>
      <c r="B19" s="422"/>
      <c r="C19" s="963" t="str">
        <f>IF(DATA!Y30="","_________________________ (District)",UPPER(DATA!Y30)&amp;"  District")</f>
        <v>_________________________ (District)</v>
      </c>
      <c r="D19" s="703"/>
      <c r="E19" s="335"/>
      <c r="F19" s="423"/>
      <c r="G19" s="4"/>
      <c r="H19" s="4"/>
      <c r="I19" s="4"/>
      <c r="J19" s="4"/>
      <c r="K19" s="4"/>
    </row>
    <row r="20" spans="1:11" ht="15" customHeight="1">
      <c r="A20" s="4"/>
      <c r="B20" s="422"/>
      <c r="C20" s="425"/>
      <c r="D20" s="425"/>
      <c r="E20" s="425"/>
      <c r="F20" s="426"/>
      <c r="G20" s="4"/>
      <c r="H20" s="4"/>
      <c r="I20" s="4"/>
      <c r="J20" s="4"/>
      <c r="K20" s="4"/>
    </row>
    <row r="21" spans="1:11" ht="15" customHeight="1">
      <c r="A21" s="4"/>
      <c r="B21" s="422"/>
      <c r="C21" s="425"/>
      <c r="D21" s="425"/>
      <c r="E21" s="425"/>
      <c r="F21" s="426"/>
      <c r="G21" s="4"/>
      <c r="H21" s="4"/>
      <c r="I21" s="4"/>
      <c r="J21" s="4"/>
      <c r="K21" s="4"/>
    </row>
    <row r="22" spans="1:11" ht="15" customHeight="1">
      <c r="A22" s="4"/>
      <c r="B22" s="422"/>
      <c r="C22" s="970" t="s">
        <v>402</v>
      </c>
      <c r="D22" s="703"/>
      <c r="E22" s="968" t="s">
        <v>403</v>
      </c>
      <c r="F22" s="709"/>
      <c r="G22" s="4"/>
      <c r="H22" s="4"/>
      <c r="I22" s="4"/>
      <c r="J22" s="4"/>
      <c r="K22" s="4"/>
    </row>
    <row r="23" spans="1:11" ht="15" customHeight="1">
      <c r="A23" s="4"/>
      <c r="B23" s="422"/>
      <c r="C23" s="969" t="s">
        <v>404</v>
      </c>
      <c r="D23" s="703"/>
      <c r="E23" s="969" t="s">
        <v>405</v>
      </c>
      <c r="F23" s="709"/>
      <c r="G23" s="4"/>
      <c r="H23" s="4"/>
      <c r="I23" s="4"/>
      <c r="J23" s="4"/>
      <c r="K23" s="4"/>
    </row>
    <row r="24" spans="1:11" ht="15" customHeight="1">
      <c r="A24" s="4"/>
      <c r="B24" s="428"/>
      <c r="C24" s="964" t="str">
        <f>CONCATENATE("( NAME  :  ",UPPER(DATA!M25)," )")</f>
        <v>( NAME  :  PERUMALLA RAMANJANEYULU )</v>
      </c>
      <c r="D24" s="703"/>
      <c r="E24" s="967" t="str">
        <f>IF(DATA!Y25="","_________________________ (Owner's Name)",CONCATENATE("( NAME  :  ",DATA!X25&amp;UPPER(DATA!Y25)," )"))</f>
        <v>_________________________ (Owner's Name)</v>
      </c>
      <c r="F24" s="709"/>
      <c r="G24" s="4"/>
      <c r="H24" s="4"/>
      <c r="I24" s="4"/>
      <c r="J24" s="4"/>
      <c r="K24" s="4"/>
    </row>
    <row r="25" spans="1:11" ht="15" customHeight="1">
      <c r="A25" s="4"/>
      <c r="B25" s="429"/>
      <c r="C25" s="430"/>
      <c r="D25" s="430"/>
      <c r="E25" s="430"/>
      <c r="F25" s="431"/>
      <c r="G25" s="4"/>
      <c r="H25" s="4"/>
      <c r="I25" s="4"/>
      <c r="J25" s="4"/>
      <c r="K25" s="4"/>
    </row>
    <row r="26" spans="1:11" ht="15" customHeight="1">
      <c r="A26" s="4"/>
      <c r="B26" s="422"/>
      <c r="C26" s="427"/>
      <c r="D26" s="425"/>
      <c r="E26" s="427"/>
      <c r="F26" s="426"/>
      <c r="G26" s="4"/>
      <c r="H26" s="4"/>
      <c r="I26" s="4"/>
      <c r="J26" s="4"/>
      <c r="K26" s="4"/>
    </row>
    <row r="27" spans="1:11" ht="15" customHeight="1">
      <c r="A27" s="4"/>
      <c r="B27" s="422"/>
      <c r="C27" s="966" t="s">
        <v>406</v>
      </c>
      <c r="D27" s="703"/>
      <c r="E27" s="703"/>
      <c r="F27" s="426"/>
      <c r="G27" s="4"/>
      <c r="H27" s="4"/>
      <c r="I27" s="4"/>
      <c r="J27" s="4"/>
      <c r="K27" s="4"/>
    </row>
    <row r="28" spans="1:11" ht="15" customHeight="1">
      <c r="A28" s="4"/>
      <c r="B28" s="422"/>
      <c r="C28" s="965" t="str">
        <f>IF(AND(DATA!E12&lt;=3000),("YOU NEED NOT SUBMIT RENT RECEIPT FOR THIS RENT"),  IF(AND(DATA!E12&gt;3000,DATA!E12&lt;=8333),("YOU SHOULD SUBMIT RENT RECEIPT WITHOUT PAN OF HOUSE OWNER"),  IF(AND(DATA!E12&gt;8333),("YOU SHOULD SUBMIT RENT RECEIPT WITH PAN OF HOUSE OWNER"))))</f>
        <v>YOU SHOULD SUBMIT RENT RECEIPT WITHOUT PAN OF HOUSE OWNER</v>
      </c>
      <c r="D28" s="703"/>
      <c r="E28" s="703"/>
      <c r="F28" s="426"/>
      <c r="G28" s="4"/>
      <c r="H28" s="4"/>
      <c r="I28" s="4"/>
      <c r="J28" s="4"/>
      <c r="K28" s="4"/>
    </row>
    <row r="29" spans="1:11" ht="16.5" customHeight="1">
      <c r="A29" s="4"/>
      <c r="B29" s="432"/>
      <c r="C29" s="433"/>
      <c r="D29" s="433"/>
      <c r="E29" s="433"/>
      <c r="F29" s="434"/>
      <c r="G29" s="4"/>
      <c r="H29" s="4"/>
      <c r="I29" s="4"/>
      <c r="J29" s="4"/>
      <c r="K29" s="4"/>
    </row>
    <row r="30" spans="1:11" ht="15.75" customHeight="1">
      <c r="A30" s="4"/>
      <c r="B30" s="905" t="s">
        <v>185</v>
      </c>
      <c r="C30" s="707"/>
      <c r="D30" s="707"/>
      <c r="E30" s="707"/>
      <c r="F30" s="707"/>
      <c r="G30" s="4"/>
      <c r="H30" s="4"/>
      <c r="I30" s="4"/>
      <c r="J30" s="4"/>
      <c r="K30" s="4"/>
    </row>
    <row r="31" spans="1:1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</sheetData>
  <mergeCells count="21">
    <mergeCell ref="C13:D13"/>
    <mergeCell ref="B2:F3"/>
    <mergeCell ref="B4:F4"/>
    <mergeCell ref="C5:E10"/>
    <mergeCell ref="C11:D12"/>
    <mergeCell ref="E11:F12"/>
    <mergeCell ref="C15:D15"/>
    <mergeCell ref="C16:D16"/>
    <mergeCell ref="C17:D17"/>
    <mergeCell ref="C18:D18"/>
    <mergeCell ref="C14:D14"/>
    <mergeCell ref="C28:E28"/>
    <mergeCell ref="B30:F30"/>
    <mergeCell ref="C19:D19"/>
    <mergeCell ref="C27:E27"/>
    <mergeCell ref="C24:D24"/>
    <mergeCell ref="E24:F24"/>
    <mergeCell ref="E22:F22"/>
    <mergeCell ref="C23:D23"/>
    <mergeCell ref="E23:F23"/>
    <mergeCell ref="C22:D22"/>
  </mergeCells>
  <printOptions horizontalCentered="1"/>
  <pageMargins left="0.25" right="0.25" top="0.75" bottom="0.75" header="0" footer="0"/>
  <pageSetup paperSize="9" scale="98" orientation="portrait"/>
  <headerFooter>
    <oddFooter>&amp;CScience and Technology ,revolutionize our lives ,butmemory , tradition and myth frame our responce.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99"/>
    <pageSetUpPr fitToPage="1"/>
  </sheetPr>
  <dimension ref="B1:G100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:G9"/>
    </sheetView>
  </sheetViews>
  <sheetFormatPr defaultColWidth="14.42578125" defaultRowHeight="15" customHeight="1"/>
  <cols>
    <col min="1" max="1" width="1.28515625" customWidth="1"/>
    <col min="2" max="2" width="5.7109375" customWidth="1"/>
    <col min="3" max="3" width="4.7109375" customWidth="1"/>
    <col min="4" max="4" width="9.28515625" customWidth="1"/>
    <col min="5" max="5" width="40.7109375" customWidth="1"/>
    <col min="6" max="6" width="15.7109375" customWidth="1"/>
    <col min="7" max="7" width="24.7109375" customWidth="1"/>
    <col min="8" max="11" width="8.7109375" customWidth="1"/>
  </cols>
  <sheetData>
    <row r="1" spans="2:7" ht="4.5" customHeight="1">
      <c r="F1" s="435"/>
      <c r="G1" s="435"/>
    </row>
    <row r="2" spans="2:7" ht="15" customHeight="1">
      <c r="B2" s="982" t="s">
        <v>407</v>
      </c>
      <c r="C2" s="784"/>
      <c r="D2" s="784"/>
      <c r="E2" s="784"/>
      <c r="F2" s="784"/>
      <c r="G2" s="793"/>
    </row>
    <row r="3" spans="2:7" ht="15" customHeight="1">
      <c r="B3" s="983" t="s">
        <v>408</v>
      </c>
      <c r="C3" s="854"/>
      <c r="D3" s="854"/>
      <c r="E3" s="854"/>
      <c r="F3" s="854"/>
      <c r="G3" s="825"/>
    </row>
    <row r="4" spans="2:7" ht="15" customHeight="1">
      <c r="B4" s="984" t="s">
        <v>409</v>
      </c>
      <c r="C4" s="703"/>
      <c r="D4" s="703"/>
      <c r="E4" s="703"/>
      <c r="F4" s="703"/>
      <c r="G4" s="709"/>
    </row>
    <row r="5" spans="2:7" ht="15" customHeight="1">
      <c r="B5" s="985" t="str">
        <f>CONCATENATE("1. Name &amp; address of the employee : ",UPPER(CONCATENATE(DATA!L25," ",DATA!M25," ; ",DATA!M29," ; ",DATA!M30)))</f>
        <v>1. Name &amp; address of the employee : SRI.   PERUMALLA RAMANJANEYULU ; M.P.P.SCHOOL ; RAHIMANPURAM</v>
      </c>
      <c r="C5" s="854"/>
      <c r="D5" s="854"/>
      <c r="E5" s="854"/>
      <c r="F5" s="854"/>
      <c r="G5" s="825"/>
    </row>
    <row r="6" spans="2:7" ht="15" customHeight="1">
      <c r="B6" s="985" t="str">
        <f>CONCATENATE("2. Permanent Account Number of the employee  :   ",UPPER(DATA!M28))</f>
        <v>2. Permanent Account Number of the employee  :   MYPAN1234S</v>
      </c>
      <c r="C6" s="854"/>
      <c r="D6" s="854"/>
      <c r="E6" s="854"/>
      <c r="F6" s="854"/>
      <c r="G6" s="825"/>
    </row>
    <row r="7" spans="2:7" ht="15" customHeight="1">
      <c r="B7" s="985" t="str">
        <f>CONCATENATE("3. Treasury ID  of the employee  :         ",TEXT(DATA!M27,"0000000"))</f>
        <v>3. Treasury ID  of the employee  :         0123456</v>
      </c>
      <c r="C7" s="854"/>
      <c r="D7" s="854"/>
      <c r="E7" s="854"/>
      <c r="F7" s="854"/>
      <c r="G7" s="825"/>
    </row>
    <row r="8" spans="2:7" ht="15" customHeight="1">
      <c r="B8" s="985" t="str">
        <f>CONCATENATE("4. Financial year  :      ","2024-2025")</f>
        <v>4. Financial year  :      2024-2025</v>
      </c>
      <c r="C8" s="854"/>
      <c r="D8" s="854"/>
      <c r="E8" s="854"/>
      <c r="F8" s="854"/>
      <c r="G8" s="825"/>
    </row>
    <row r="9" spans="2:7" ht="19.5" customHeight="1">
      <c r="B9" s="990" t="s">
        <v>410</v>
      </c>
      <c r="C9" s="844"/>
      <c r="D9" s="844"/>
      <c r="E9" s="844"/>
      <c r="F9" s="844"/>
      <c r="G9" s="851"/>
    </row>
    <row r="10" spans="2:7" ht="22.5" customHeight="1">
      <c r="B10" s="436" t="s">
        <v>370</v>
      </c>
      <c r="C10" s="980" t="s">
        <v>411</v>
      </c>
      <c r="D10" s="875"/>
      <c r="E10" s="742"/>
      <c r="F10" s="437" t="s">
        <v>412</v>
      </c>
      <c r="G10" s="438" t="s">
        <v>413</v>
      </c>
    </row>
    <row r="11" spans="2:7" ht="15.75" customHeight="1">
      <c r="B11" s="439" t="s">
        <v>414</v>
      </c>
      <c r="C11" s="981" t="s">
        <v>415</v>
      </c>
      <c r="D11" s="875"/>
      <c r="E11" s="742"/>
      <c r="F11" s="440" t="s">
        <v>416</v>
      </c>
      <c r="G11" s="441" t="s">
        <v>417</v>
      </c>
    </row>
    <row r="12" spans="2:7" ht="15" customHeight="1">
      <c r="B12" s="442">
        <v>1</v>
      </c>
      <c r="C12" s="978" t="s">
        <v>418</v>
      </c>
      <c r="D12" s="918"/>
      <c r="E12" s="882"/>
      <c r="F12" s="443"/>
      <c r="G12" s="444"/>
    </row>
    <row r="13" spans="2:7" ht="15" customHeight="1">
      <c r="B13" s="445"/>
      <c r="C13" s="986" t="str">
        <f>"(i) Rent paid to the landlord       :        "&amp;'ANNEXURE II'!L3</f>
        <v>(i) Rent paid to the landlord       :        RENT 8300 x 12 =</v>
      </c>
      <c r="D13" s="665"/>
      <c r="E13" s="666"/>
      <c r="F13" s="446">
        <f>'ANNEXURE II'!M3</f>
        <v>99600</v>
      </c>
      <c r="G13" s="447" t="str">
        <f>IF(F13&gt;0,"RECEIPT PRODUCED","")</f>
        <v>RECEIPT PRODUCED</v>
      </c>
    </row>
    <row r="14" spans="2:7" ht="15" customHeight="1">
      <c r="B14" s="445"/>
      <c r="C14" s="987" t="s">
        <v>419</v>
      </c>
      <c r="D14" s="665"/>
      <c r="E14" s="666"/>
      <c r="F14" s="988" t="str">
        <f>DATA!X25&amp;UPPER(DATA!Y25)</f>
        <v xml:space="preserve">Sri.  </v>
      </c>
      <c r="G14" s="705"/>
    </row>
    <row r="15" spans="2:7" ht="15" customHeight="1">
      <c r="B15" s="445"/>
      <c r="C15" s="448" t="str">
        <f>CONCATENATE("(iii) Address of the landlord       :   ",DATA!X26," ",DATA!Y26," (",DATA!X27,") ",UPPER(DATA!Y28)," (Vill.) ; ",UPPER(DATA!Y29),"(Mdl.)")</f>
        <v>(iii) Address of the landlord       :   House No.  (STREET)  (Vill.) ; (Mdl.)</v>
      </c>
      <c r="D15" s="449"/>
      <c r="E15" s="450"/>
      <c r="F15" s="451"/>
      <c r="G15" s="452"/>
    </row>
    <row r="16" spans="2:7" ht="15" customHeight="1">
      <c r="B16" s="453"/>
      <c r="C16" s="979" t="s">
        <v>420</v>
      </c>
      <c r="D16" s="871"/>
      <c r="E16" s="872"/>
      <c r="F16" s="989" t="str">
        <f>IF(DATA!E12&gt;=8333,UPPER(DATA!Y31),"NOT APPLICABLE")</f>
        <v>NOT APPLICABLE</v>
      </c>
      <c r="G16" s="886"/>
    </row>
    <row r="17" spans="2:7" ht="15" customHeight="1">
      <c r="B17" s="454">
        <v>2</v>
      </c>
      <c r="C17" s="992" t="s">
        <v>421</v>
      </c>
      <c r="D17" s="875"/>
      <c r="E17" s="993"/>
      <c r="F17" s="455"/>
      <c r="G17" s="456"/>
    </row>
    <row r="18" spans="2:7" ht="15" customHeight="1">
      <c r="B18" s="445">
        <v>3</v>
      </c>
      <c r="C18" s="994" t="s">
        <v>422</v>
      </c>
      <c r="D18" s="995"/>
      <c r="E18" s="996"/>
      <c r="F18" s="457"/>
      <c r="G18" s="444"/>
    </row>
    <row r="19" spans="2:7" ht="15" customHeight="1">
      <c r="B19" s="445"/>
      <c r="C19" s="991" t="s">
        <v>423</v>
      </c>
      <c r="D19" s="665"/>
      <c r="E19" s="666"/>
      <c r="F19" s="458">
        <v>0</v>
      </c>
      <c r="G19" s="459"/>
    </row>
    <row r="20" spans="2:7" ht="15" customHeight="1">
      <c r="B20" s="445"/>
      <c r="C20" s="991" t="s">
        <v>424</v>
      </c>
      <c r="D20" s="665"/>
      <c r="E20" s="666"/>
      <c r="F20" s="458"/>
      <c r="G20" s="459"/>
    </row>
    <row r="21" spans="2:7" ht="15" customHeight="1">
      <c r="B21" s="445"/>
      <c r="C21" s="991" t="s">
        <v>425</v>
      </c>
      <c r="D21" s="665"/>
      <c r="E21" s="666"/>
      <c r="F21" s="458"/>
      <c r="G21" s="459"/>
    </row>
    <row r="22" spans="2:7" ht="15" customHeight="1">
      <c r="B22" s="445"/>
      <c r="C22" s="991" t="s">
        <v>426</v>
      </c>
      <c r="D22" s="665"/>
      <c r="E22" s="666"/>
      <c r="F22" s="458"/>
      <c r="G22" s="459"/>
    </row>
    <row r="23" spans="2:7" ht="15" customHeight="1">
      <c r="B23" s="445"/>
      <c r="C23" s="991" t="s">
        <v>427</v>
      </c>
      <c r="D23" s="665"/>
      <c r="E23" s="666"/>
      <c r="F23" s="458"/>
      <c r="G23" s="459"/>
    </row>
    <row r="24" spans="2:7" ht="15" customHeight="1">
      <c r="B24" s="445"/>
      <c r="C24" s="991" t="s">
        <v>428</v>
      </c>
      <c r="D24" s="665"/>
      <c r="E24" s="666"/>
      <c r="F24" s="458"/>
      <c r="G24" s="459"/>
    </row>
    <row r="25" spans="2:7" ht="15" customHeight="1">
      <c r="B25" s="453"/>
      <c r="C25" s="979" t="s">
        <v>429</v>
      </c>
      <c r="D25" s="871"/>
      <c r="E25" s="872"/>
      <c r="F25" s="460"/>
      <c r="G25" s="461"/>
    </row>
    <row r="26" spans="2:7" ht="15" customHeight="1">
      <c r="B26" s="445">
        <v>4</v>
      </c>
      <c r="C26" s="1001" t="s">
        <v>430</v>
      </c>
      <c r="D26" s="995"/>
      <c r="E26" s="996"/>
      <c r="F26" s="462"/>
      <c r="G26" s="463"/>
    </row>
    <row r="27" spans="2:7" ht="15" customHeight="1">
      <c r="B27" s="445" t="s">
        <v>431</v>
      </c>
      <c r="C27" s="997" t="s">
        <v>432</v>
      </c>
      <c r="D27" s="665"/>
      <c r="E27" s="666"/>
      <c r="F27" s="458"/>
      <c r="G27" s="459"/>
    </row>
    <row r="28" spans="2:7" ht="15" customHeight="1">
      <c r="B28" s="445"/>
      <c r="C28" s="998" t="s">
        <v>433</v>
      </c>
      <c r="D28" s="665"/>
      <c r="E28" s="666"/>
      <c r="F28" s="458"/>
      <c r="G28" s="459"/>
    </row>
    <row r="29" spans="2:7" ht="15" customHeight="1">
      <c r="B29" s="445"/>
      <c r="C29" s="464" t="s">
        <v>363</v>
      </c>
      <c r="D29" s="465" t="s">
        <v>341</v>
      </c>
      <c r="E29" s="466" t="str">
        <f>'ANNEXURE II'!D23</f>
        <v>GPF_CPS  :   A/c No. :  9963535304</v>
      </c>
      <c r="F29" s="458">
        <f>'ANNEXURE II'!H23</f>
        <v>0</v>
      </c>
      <c r="G29" s="467" t="str">
        <f t="shared" ref="G29:G31" si="0">IF(F29&gt;0,"SALARY DEDUCTION","")</f>
        <v/>
      </c>
    </row>
    <row r="30" spans="2:7" ht="15" customHeight="1">
      <c r="B30" s="445"/>
      <c r="C30" s="464" t="s">
        <v>365</v>
      </c>
      <c r="D30" s="465" t="s">
        <v>341</v>
      </c>
      <c r="E30" s="466" t="str">
        <f>'ANNEXURE II'!D24</f>
        <v>A.P.G.L.I.  :   A/c No. :  L-123456</v>
      </c>
      <c r="F30" s="458">
        <f>'ANNEXURE II'!H24</f>
        <v>0</v>
      </c>
      <c r="G30" s="467" t="str">
        <f t="shared" si="0"/>
        <v/>
      </c>
    </row>
    <row r="31" spans="2:7" ht="15" customHeight="1">
      <c r="B31" s="445"/>
      <c r="C31" s="464" t="s">
        <v>434</v>
      </c>
      <c r="D31" s="465" t="s">
        <v>341</v>
      </c>
      <c r="E31" s="466" t="str">
        <f>'ANNEXURE II'!D25</f>
        <v>G.I.S.    ( Group Insurance Scheme )</v>
      </c>
      <c r="F31" s="458">
        <f>'ANNEXURE II'!H25</f>
        <v>0</v>
      </c>
      <c r="G31" s="467" t="str">
        <f t="shared" si="0"/>
        <v/>
      </c>
    </row>
    <row r="32" spans="2:7" ht="15" customHeight="1">
      <c r="B32" s="445"/>
      <c r="C32" s="464" t="s">
        <v>435</v>
      </c>
      <c r="D32" s="468" t="s">
        <v>436</v>
      </c>
      <c r="E32" s="469" t="str">
        <f>'ANNEXURE II'!D26</f>
        <v>L.I.C. PREMIUMS (Paid by Hand)</v>
      </c>
      <c r="F32" s="458">
        <f>'ANNEXURE II'!H26</f>
        <v>0</v>
      </c>
      <c r="G32" s="467" t="str">
        <f t="shared" ref="G32:G41" si="1">IF(F32&gt;0,"RECEIPT PRODUCED","")</f>
        <v/>
      </c>
    </row>
    <row r="33" spans="2:7" ht="15" customHeight="1">
      <c r="B33" s="445"/>
      <c r="C33" s="464" t="s">
        <v>437</v>
      </c>
      <c r="D33" s="465" t="s">
        <v>436</v>
      </c>
      <c r="E33" s="466" t="str">
        <f>'ANNEXURE II'!D27</f>
        <v>POSTAL LIFE INSURANCE (PLI/RPLI)</v>
      </c>
      <c r="F33" s="458">
        <f>'ANNEXURE II'!H27</f>
        <v>0</v>
      </c>
      <c r="G33" s="467" t="str">
        <f t="shared" si="1"/>
        <v/>
      </c>
    </row>
    <row r="34" spans="2:7" ht="15" customHeight="1">
      <c r="B34" s="445"/>
      <c r="C34" s="464" t="s">
        <v>438</v>
      </c>
      <c r="D34" s="465" t="s">
        <v>436</v>
      </c>
      <c r="E34" s="466" t="str">
        <f>'ANNEXURE II'!D28</f>
        <v>SUKANYA SAMRIDHI YOJANA</v>
      </c>
      <c r="F34" s="458">
        <f>'ANNEXURE II'!H28</f>
        <v>0</v>
      </c>
      <c r="G34" s="467" t="str">
        <f t="shared" si="1"/>
        <v/>
      </c>
    </row>
    <row r="35" spans="2:7" ht="15" customHeight="1">
      <c r="B35" s="445"/>
      <c r="C35" s="464" t="s">
        <v>439</v>
      </c>
      <c r="D35" s="465" t="s">
        <v>436</v>
      </c>
      <c r="E35" s="466" t="str">
        <f>'ANNEXURE II'!D29</f>
        <v>S.B.I. LIFE INSURANCE</v>
      </c>
      <c r="F35" s="458">
        <f>'ANNEXURE II'!H29</f>
        <v>0</v>
      </c>
      <c r="G35" s="467" t="str">
        <f t="shared" si="1"/>
        <v/>
      </c>
    </row>
    <row r="36" spans="2:7" ht="15" customHeight="1">
      <c r="B36" s="445"/>
      <c r="C36" s="464" t="s">
        <v>440</v>
      </c>
      <c r="D36" s="465" t="s">
        <v>436</v>
      </c>
      <c r="E36" s="466" t="str">
        <f>'ANNEXURE II'!D30</f>
        <v>PUBLIC PROVIDENT FUND</v>
      </c>
      <c r="F36" s="458">
        <f>'ANNEXURE II'!H30</f>
        <v>0</v>
      </c>
      <c r="G36" s="467" t="str">
        <f t="shared" si="1"/>
        <v/>
      </c>
    </row>
    <row r="37" spans="2:7" ht="15" customHeight="1">
      <c r="B37" s="445"/>
      <c r="C37" s="464" t="s">
        <v>441</v>
      </c>
      <c r="D37" s="465" t="s">
        <v>436</v>
      </c>
      <c r="E37" s="466" t="str">
        <f>'ANNEXURE II'!D31</f>
        <v>TUTION FEE FOR CHILDREN</v>
      </c>
      <c r="F37" s="458">
        <f>'ANNEXURE II'!H31</f>
        <v>0</v>
      </c>
      <c r="G37" s="467" t="str">
        <f t="shared" si="1"/>
        <v/>
      </c>
    </row>
    <row r="38" spans="2:7" ht="15" customHeight="1">
      <c r="B38" s="445"/>
      <c r="C38" s="464" t="s">
        <v>442</v>
      </c>
      <c r="D38" s="465" t="s">
        <v>436</v>
      </c>
      <c r="E38" s="466" t="str">
        <f>'ANNEXURE II'!D32</f>
        <v>HOME LOAN PRINCIPLE AMOUNT</v>
      </c>
      <c r="F38" s="458">
        <f>'ANNEXURE II'!H32</f>
        <v>0</v>
      </c>
      <c r="G38" s="467" t="str">
        <f t="shared" si="1"/>
        <v/>
      </c>
    </row>
    <row r="39" spans="2:7" ht="15" customHeight="1">
      <c r="B39" s="445"/>
      <c r="C39" s="464" t="s">
        <v>443</v>
      </c>
      <c r="D39" s="465" t="s">
        <v>444</v>
      </c>
      <c r="E39" s="466" t="str">
        <f>'ANNEXURE II'!D33</f>
        <v xml:space="preserve">STAMP DUTY &amp; REGISTRATION </v>
      </c>
      <c r="F39" s="458">
        <f>'ANNEXURE II'!H33</f>
        <v>0</v>
      </c>
      <c r="G39" s="467" t="str">
        <f t="shared" si="1"/>
        <v/>
      </c>
    </row>
    <row r="40" spans="2:7" ht="15" customHeight="1">
      <c r="B40" s="445"/>
      <c r="C40" s="464" t="s">
        <v>445</v>
      </c>
      <c r="D40" s="465" t="s">
        <v>446</v>
      </c>
      <c r="E40" s="466" t="str">
        <f>'ANNEXURE II'!D34</f>
        <v>HDFC LIFE INSURANCE</v>
      </c>
      <c r="F40" s="458">
        <f>'ANNEXURE II'!H34</f>
        <v>0</v>
      </c>
      <c r="G40" s="467" t="str">
        <f t="shared" si="1"/>
        <v/>
      </c>
    </row>
    <row r="41" spans="2:7" ht="15" customHeight="1">
      <c r="B41" s="445"/>
      <c r="C41" s="464" t="s">
        <v>447</v>
      </c>
      <c r="D41" s="470" t="s">
        <v>436</v>
      </c>
      <c r="E41" s="466" t="str">
        <f>'ANNEXURE II'!D35</f>
        <v>OTHERS_________________</v>
      </c>
      <c r="F41" s="458">
        <f>'ANNEXURE II'!H35</f>
        <v>0</v>
      </c>
      <c r="G41" s="467" t="str">
        <f t="shared" si="1"/>
        <v/>
      </c>
    </row>
    <row r="42" spans="2:7" ht="31.5" customHeight="1">
      <c r="B42" s="445" t="s">
        <v>448</v>
      </c>
      <c r="C42" s="997" t="s">
        <v>449</v>
      </c>
      <c r="D42" s="665"/>
      <c r="E42" s="666"/>
      <c r="F42" s="458"/>
      <c r="G42" s="471"/>
    </row>
    <row r="43" spans="2:7" ht="15" customHeight="1">
      <c r="B43" s="445"/>
      <c r="C43" s="472" t="s">
        <v>441</v>
      </c>
      <c r="D43" s="473" t="s">
        <v>349</v>
      </c>
      <c r="E43" s="474" t="str">
        <f>'ANNEXURE II'!D41</f>
        <v>E.W.F &amp; S.W.F &amp; CMRF            U/s 80(G)</v>
      </c>
      <c r="F43" s="458">
        <f>'ANNEXURE II'!H41</f>
        <v>0</v>
      </c>
      <c r="G43" s="467" t="str">
        <f>IF(F43&gt;0,"SALARY DEDUCTION","")</f>
        <v/>
      </c>
    </row>
    <row r="44" spans="2:7" ht="15" customHeight="1">
      <c r="B44" s="445"/>
      <c r="C44" s="472" t="s">
        <v>450</v>
      </c>
      <c r="D44" s="473" t="str">
        <f t="shared" ref="D44:D45" si="2">RIGHT(E44,5)</f>
        <v xml:space="preserve">24B  </v>
      </c>
      <c r="E44" s="474" t="str">
        <f>'ANNEXURE II'!D42</f>
        <v xml:space="preserve">Interest on Housing Loan Advance U/s 24B  </v>
      </c>
      <c r="F44" s="458">
        <f>'ANNEXURE II'!H42</f>
        <v>0</v>
      </c>
      <c r="G44" s="467" t="str">
        <f t="shared" ref="G44:G45" si="3">IF(F44&gt;0,"RECEIPT PRODUCED","")</f>
        <v/>
      </c>
    </row>
    <row r="45" spans="2:7" ht="15" customHeight="1">
      <c r="B45" s="445"/>
      <c r="C45" s="472" t="s">
        <v>451</v>
      </c>
      <c r="D45" s="473" t="str">
        <f t="shared" si="2"/>
        <v xml:space="preserve">80E  </v>
      </c>
      <c r="E45" s="474" t="str">
        <f>'ANNEXURE II'!D43</f>
        <v xml:space="preserve">Interest on Educational Loan U/s 80E  </v>
      </c>
      <c r="F45" s="458">
        <f>'ANNEXURE II'!H43</f>
        <v>0</v>
      </c>
      <c r="G45" s="467" t="str">
        <f t="shared" si="3"/>
        <v/>
      </c>
    </row>
    <row r="46" spans="2:7" ht="15" customHeight="1">
      <c r="B46" s="445"/>
      <c r="C46" s="472" t="s">
        <v>452</v>
      </c>
      <c r="D46" s="473" t="s">
        <v>453</v>
      </c>
      <c r="E46" s="474" t="str">
        <f>'ANNEXURE II'!D44</f>
        <v>Deduction for DISABLED (SELF) u/s 80U</v>
      </c>
      <c r="F46" s="458">
        <f>'ANNEXURE II'!H44</f>
        <v>0</v>
      </c>
      <c r="G46" s="467" t="str">
        <f>IF(F46&gt;0,"CERTIFICATE PRODUCED","")</f>
        <v/>
      </c>
    </row>
    <row r="47" spans="2:7" ht="15" customHeight="1">
      <c r="B47" s="445"/>
      <c r="C47" s="472" t="s">
        <v>454</v>
      </c>
      <c r="D47" s="473" t="s">
        <v>455</v>
      </c>
      <c r="E47" s="474" t="str">
        <f>'ANNEXURE II'!D45</f>
        <v>Medical Insurance Premiums     80D</v>
      </c>
      <c r="F47" s="458">
        <f>'ANNEXURE II'!H45</f>
        <v>0</v>
      </c>
      <c r="G47" s="467" t="str">
        <f t="shared" ref="G47:G48" si="4">IF(F47&gt;0,"RECEIPT PRODUCED","")</f>
        <v/>
      </c>
    </row>
    <row r="48" spans="2:7" ht="15" customHeight="1">
      <c r="B48" s="445"/>
      <c r="C48" s="472" t="s">
        <v>456</v>
      </c>
      <c r="D48" s="473" t="s">
        <v>349</v>
      </c>
      <c r="E48" s="474" t="str">
        <f>'ANNEXURE II'!D46</f>
        <v>Donations of Charitable Trust    80G</v>
      </c>
      <c r="F48" s="458">
        <f>'ANNEXURE II'!H46</f>
        <v>0</v>
      </c>
      <c r="G48" s="467" t="str">
        <f t="shared" si="4"/>
        <v/>
      </c>
    </row>
    <row r="49" spans="2:7" ht="15" customHeight="1">
      <c r="B49" s="445"/>
      <c r="C49" s="472" t="s">
        <v>457</v>
      </c>
      <c r="D49" s="473" t="s">
        <v>455</v>
      </c>
      <c r="E49" s="474" t="str">
        <f>'ANNEXURE II'!D47</f>
        <v>Employee Health Scheme (EHS) 80D</v>
      </c>
      <c r="F49" s="458">
        <f>'ANNEXURE II'!H47</f>
        <v>0</v>
      </c>
      <c r="G49" s="467" t="str">
        <f>IF(F49&gt;0,"SALARY DEDUCTION","")</f>
        <v/>
      </c>
    </row>
    <row r="50" spans="2:7" ht="15" customHeight="1">
      <c r="B50" s="445"/>
      <c r="C50" s="472" t="s">
        <v>458</v>
      </c>
      <c r="D50" s="475" t="s">
        <v>459</v>
      </c>
      <c r="E50" s="474" t="str">
        <f>'ANNEXURE II'!C37</f>
        <v>National Pension Scheme    U/s 80CCD (1)(B)</v>
      </c>
      <c r="F50" s="458">
        <f>'ANNEXURE II'!H37</f>
        <v>0</v>
      </c>
      <c r="G50" s="467" t="str">
        <f>IF(F50&gt;0,"SELF and Salary DEDUCTION","")</f>
        <v/>
      </c>
    </row>
    <row r="51" spans="2:7" ht="15" customHeight="1">
      <c r="B51" s="445"/>
      <c r="C51" s="476" t="s">
        <v>460</v>
      </c>
      <c r="D51" s="477" t="s">
        <v>461</v>
      </c>
      <c r="E51" s="478" t="str">
        <f>'ANNEXURE II'!C38</f>
        <v>National Pension Scheme    U/s 80CCD (2)</v>
      </c>
      <c r="F51" s="479">
        <f>'ANNEXURE II'!H38</f>
        <v>0</v>
      </c>
      <c r="G51" s="480" t="str">
        <f>IF(F51&gt;0,"EMPLOYER's Contribution","")</f>
        <v/>
      </c>
    </row>
    <row r="52" spans="2:7" ht="19.5" customHeight="1">
      <c r="B52" s="1006" t="s">
        <v>462</v>
      </c>
      <c r="C52" s="875"/>
      <c r="D52" s="875"/>
      <c r="E52" s="875"/>
      <c r="F52" s="875"/>
      <c r="G52" s="720"/>
    </row>
    <row r="53" spans="2:7" ht="49.5" customHeight="1">
      <c r="B53" s="481"/>
      <c r="C53" s="1005" t="str">
        <f>CONCATENATE("     I  ",UPPER(DATA!L25)," ",UPPER(DATA!M25)," ; ",DATA!M26," do hereby certify that the information given above is complete and correct.")</f>
        <v xml:space="preserve">     I  SRI.   PERUMALLA RAMANJANEYULU ; SECONDARY GRADE TEACHER do hereby certify that the information given above is complete and correct.</v>
      </c>
      <c r="D53" s="875"/>
      <c r="E53" s="875"/>
      <c r="F53" s="875"/>
      <c r="G53" s="720"/>
    </row>
    <row r="54" spans="2:7" ht="24.75" customHeight="1">
      <c r="B54" s="1003" t="s">
        <v>463</v>
      </c>
      <c r="C54" s="836"/>
      <c r="D54" s="1004" t="str">
        <f>UPPER(DATA!T30)</f>
        <v>BETHAMCHERLA</v>
      </c>
      <c r="E54" s="836"/>
      <c r="F54" s="1007"/>
      <c r="G54" s="825"/>
    </row>
    <row r="55" spans="2:7" ht="19.5" customHeight="1">
      <c r="B55" s="999" t="s">
        <v>464</v>
      </c>
      <c r="C55" s="824"/>
      <c r="D55" s="1000">
        <f ca="1">TODAY()</f>
        <v>45629</v>
      </c>
      <c r="E55" s="824"/>
      <c r="F55" s="1008" t="s">
        <v>465</v>
      </c>
      <c r="G55" s="825"/>
    </row>
    <row r="56" spans="2:7" ht="19.5" customHeight="1">
      <c r="B56" s="1009" t="s">
        <v>466</v>
      </c>
      <c r="C56" s="799"/>
      <c r="D56" s="1010" t="str">
        <f>UPPER(DATA!M26)</f>
        <v>SECONDARY GRADE TEACHER</v>
      </c>
      <c r="E56" s="799"/>
      <c r="F56" s="1011" t="str">
        <f>CONCATENATE("FULL NAME : ",UPPER(DATA!M25))</f>
        <v>FULL NAME : PERUMALLA RAMANJANEYULU</v>
      </c>
      <c r="G56" s="796"/>
    </row>
    <row r="57" spans="2:7" ht="15.75" customHeight="1">
      <c r="B57" s="1002" t="s">
        <v>185</v>
      </c>
      <c r="C57" s="707"/>
      <c r="D57" s="707"/>
      <c r="E57" s="707"/>
      <c r="F57" s="707"/>
      <c r="G57" s="707"/>
    </row>
    <row r="58" spans="2:7" ht="15.75" customHeight="1">
      <c r="F58" s="435"/>
      <c r="G58" s="435"/>
    </row>
    <row r="59" spans="2:7" ht="15.75" customHeight="1">
      <c r="F59" s="435"/>
      <c r="G59" s="435"/>
    </row>
    <row r="60" spans="2:7" ht="15.75" customHeight="1">
      <c r="F60" s="435"/>
      <c r="G60" s="435"/>
    </row>
    <row r="61" spans="2:7" ht="15.75" customHeight="1">
      <c r="F61" s="435"/>
      <c r="G61" s="435"/>
    </row>
    <row r="62" spans="2:7" ht="15.75" customHeight="1">
      <c r="F62" s="435"/>
      <c r="G62" s="435"/>
    </row>
    <row r="63" spans="2:7" ht="15.75" customHeight="1">
      <c r="F63" s="435"/>
      <c r="G63" s="435"/>
    </row>
    <row r="64" spans="2:7" ht="15.75" customHeight="1">
      <c r="F64" s="435"/>
      <c r="G64" s="435"/>
    </row>
    <row r="65" spans="6:7" ht="15.75" customHeight="1">
      <c r="F65" s="435"/>
      <c r="G65" s="435"/>
    </row>
    <row r="66" spans="6:7" ht="15.75" customHeight="1">
      <c r="F66" s="435"/>
      <c r="G66" s="435"/>
    </row>
    <row r="67" spans="6:7" ht="15.75" customHeight="1">
      <c r="F67" s="435"/>
      <c r="G67" s="435"/>
    </row>
    <row r="68" spans="6:7" ht="15.75" customHeight="1">
      <c r="F68" s="435"/>
      <c r="G68" s="435"/>
    </row>
    <row r="69" spans="6:7" ht="15.75" customHeight="1">
      <c r="F69" s="435"/>
      <c r="G69" s="435"/>
    </row>
    <row r="70" spans="6:7" ht="15.75" customHeight="1">
      <c r="F70" s="435"/>
      <c r="G70" s="435"/>
    </row>
    <row r="71" spans="6:7" ht="15.75" customHeight="1">
      <c r="F71" s="435"/>
      <c r="G71" s="435"/>
    </row>
    <row r="72" spans="6:7" ht="15.75" customHeight="1">
      <c r="F72" s="435"/>
      <c r="G72" s="435"/>
    </row>
    <row r="73" spans="6:7" ht="15.75" customHeight="1">
      <c r="F73" s="435"/>
      <c r="G73" s="435"/>
    </row>
    <row r="74" spans="6:7" ht="15.75" customHeight="1">
      <c r="F74" s="435"/>
      <c r="G74" s="435"/>
    </row>
    <row r="75" spans="6:7" ht="15.75" customHeight="1">
      <c r="F75" s="435"/>
      <c r="G75" s="435"/>
    </row>
    <row r="76" spans="6:7" ht="15.75" customHeight="1">
      <c r="F76" s="435"/>
      <c r="G76" s="435"/>
    </row>
    <row r="77" spans="6:7" ht="15.75" customHeight="1">
      <c r="F77" s="435"/>
      <c r="G77" s="435"/>
    </row>
    <row r="78" spans="6:7" ht="15.75" customHeight="1">
      <c r="F78" s="435"/>
      <c r="G78" s="435"/>
    </row>
    <row r="79" spans="6:7" ht="15.75" customHeight="1">
      <c r="F79" s="435"/>
      <c r="G79" s="435"/>
    </row>
    <row r="80" spans="6:7" ht="15.75" customHeight="1">
      <c r="F80" s="435"/>
      <c r="G80" s="435"/>
    </row>
    <row r="81" spans="6:7" ht="15.75" customHeight="1">
      <c r="F81" s="435"/>
      <c r="G81" s="435"/>
    </row>
    <row r="82" spans="6:7" ht="15.75" customHeight="1">
      <c r="F82" s="435"/>
      <c r="G82" s="435"/>
    </row>
    <row r="83" spans="6:7" ht="15.75" customHeight="1">
      <c r="F83" s="435"/>
      <c r="G83" s="435"/>
    </row>
    <row r="84" spans="6:7" ht="15.75" customHeight="1">
      <c r="F84" s="435"/>
      <c r="G84" s="435"/>
    </row>
    <row r="85" spans="6:7" ht="15.75" customHeight="1">
      <c r="F85" s="435"/>
      <c r="G85" s="435"/>
    </row>
    <row r="86" spans="6:7" ht="15.75" customHeight="1">
      <c r="F86" s="435"/>
      <c r="G86" s="435"/>
    </row>
    <row r="87" spans="6:7" ht="15.75" customHeight="1">
      <c r="F87" s="435"/>
      <c r="G87" s="435"/>
    </row>
    <row r="88" spans="6:7" ht="15.75" customHeight="1">
      <c r="F88" s="435"/>
      <c r="G88" s="435"/>
    </row>
    <row r="89" spans="6:7" ht="15.75" customHeight="1">
      <c r="F89" s="435"/>
      <c r="G89" s="435"/>
    </row>
    <row r="90" spans="6:7" ht="15.75" customHeight="1">
      <c r="F90" s="435"/>
      <c r="G90" s="435"/>
    </row>
    <row r="91" spans="6:7" ht="15.75" customHeight="1">
      <c r="F91" s="435"/>
      <c r="G91" s="435"/>
    </row>
    <row r="92" spans="6:7" ht="15.75" customHeight="1">
      <c r="F92" s="435"/>
      <c r="G92" s="435"/>
    </row>
    <row r="93" spans="6:7" ht="15.75" customHeight="1">
      <c r="F93" s="435"/>
      <c r="G93" s="435"/>
    </row>
    <row r="94" spans="6:7" ht="15.75" customHeight="1">
      <c r="F94" s="435"/>
      <c r="G94" s="435"/>
    </row>
    <row r="95" spans="6:7" ht="15.75" customHeight="1">
      <c r="F95" s="435"/>
      <c r="G95" s="435"/>
    </row>
    <row r="96" spans="6:7" ht="15.75" customHeight="1">
      <c r="F96" s="435"/>
      <c r="G96" s="435"/>
    </row>
    <row r="97" spans="6:7" ht="15.75" customHeight="1">
      <c r="F97" s="435"/>
      <c r="G97" s="435"/>
    </row>
    <row r="98" spans="6:7" ht="15.75" customHeight="1">
      <c r="F98" s="435"/>
      <c r="G98" s="435"/>
    </row>
    <row r="99" spans="6:7" ht="15.75" customHeight="1">
      <c r="F99" s="435"/>
      <c r="G99" s="435"/>
    </row>
    <row r="100" spans="6:7" ht="15.75" customHeight="1">
      <c r="F100" s="435"/>
      <c r="G100" s="435"/>
    </row>
  </sheetData>
  <mergeCells count="41">
    <mergeCell ref="B57:G57"/>
    <mergeCell ref="B54:C54"/>
    <mergeCell ref="D54:E54"/>
    <mergeCell ref="C53:G53"/>
    <mergeCell ref="B52:G52"/>
    <mergeCell ref="F54:G54"/>
    <mergeCell ref="F55:G55"/>
    <mergeCell ref="B56:C56"/>
    <mergeCell ref="D56:E56"/>
    <mergeCell ref="F56:G56"/>
    <mergeCell ref="C27:E27"/>
    <mergeCell ref="C28:E28"/>
    <mergeCell ref="B55:C55"/>
    <mergeCell ref="D55:E55"/>
    <mergeCell ref="C23:E23"/>
    <mergeCell ref="C24:E24"/>
    <mergeCell ref="C25:E25"/>
    <mergeCell ref="C26:E26"/>
    <mergeCell ref="C42:E42"/>
    <mergeCell ref="C22:E22"/>
    <mergeCell ref="C17:E17"/>
    <mergeCell ref="C18:E18"/>
    <mergeCell ref="C19:E19"/>
    <mergeCell ref="C20:E20"/>
    <mergeCell ref="C21:E21"/>
    <mergeCell ref="C12:E12"/>
    <mergeCell ref="C16:E16"/>
    <mergeCell ref="C10:E10"/>
    <mergeCell ref="C11:E11"/>
    <mergeCell ref="B2:G2"/>
    <mergeCell ref="B3:G3"/>
    <mergeCell ref="B4:G4"/>
    <mergeCell ref="B5:G5"/>
    <mergeCell ref="C13:E13"/>
    <mergeCell ref="C14:E14"/>
    <mergeCell ref="F14:G14"/>
    <mergeCell ref="F16:G16"/>
    <mergeCell ref="B7:G7"/>
    <mergeCell ref="B8:G8"/>
    <mergeCell ref="B9:G9"/>
    <mergeCell ref="B6:G6"/>
  </mergeCells>
  <conditionalFormatting sqref="F19:F51">
    <cfRule type="cellIs" dxfId="10" priority="1" operator="equal">
      <formula>0</formula>
    </cfRule>
  </conditionalFormatting>
  <printOptions horizontalCentered="1" verticalCentered="1"/>
  <pageMargins left="7.874015748031496E-2" right="7.874015748031496E-2" top="0.15748031496062992" bottom="0.1574803149606299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BW100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3.28515625" customWidth="1"/>
    <col min="2" max="5" width="9.28515625" hidden="1" customWidth="1"/>
    <col min="6" max="6" width="1.42578125" hidden="1" customWidth="1"/>
    <col min="7" max="7" width="10.28515625" hidden="1" customWidth="1"/>
    <col min="8" max="8" width="12.5703125" hidden="1" customWidth="1"/>
    <col min="9" max="9" width="1.42578125" hidden="1" customWidth="1"/>
    <col min="10" max="10" width="10.28515625" hidden="1" customWidth="1"/>
    <col min="11" max="11" width="9.28515625" hidden="1" customWidth="1"/>
    <col min="12" max="12" width="1.42578125" hidden="1" customWidth="1"/>
    <col min="13" max="13" width="10.28515625" hidden="1" customWidth="1"/>
    <col min="14" max="14" width="5.7109375" hidden="1" customWidth="1"/>
    <col min="15" max="15" width="8.7109375" hidden="1" customWidth="1"/>
    <col min="16" max="16" width="5.7109375" hidden="1" customWidth="1"/>
    <col min="17" max="18" width="8.7109375" hidden="1" customWidth="1"/>
    <col min="19" max="19" width="1.42578125" hidden="1" customWidth="1"/>
    <col min="20" max="23" width="10.28515625" hidden="1" customWidth="1"/>
    <col min="24" max="24" width="9.28515625" hidden="1" customWidth="1"/>
    <col min="25" max="25" width="6.7109375" hidden="1" customWidth="1"/>
    <col min="26" max="26" width="1.42578125" hidden="1" customWidth="1"/>
    <col min="27" max="27" width="10.28515625" hidden="1" customWidth="1"/>
    <col min="28" max="30" width="9.7109375" hidden="1" customWidth="1"/>
    <col min="31" max="31" width="1.42578125" hidden="1" customWidth="1"/>
    <col min="32" max="33" width="9.7109375" hidden="1" customWidth="1"/>
    <col min="34" max="34" width="10.85546875" hidden="1" customWidth="1"/>
    <col min="35" max="35" width="1.42578125" hidden="1" customWidth="1"/>
    <col min="36" max="36" width="4.7109375" hidden="1" customWidth="1"/>
    <col min="37" max="37" width="2.28515625" hidden="1" customWidth="1"/>
    <col min="38" max="38" width="57" hidden="1" customWidth="1"/>
    <col min="39" max="39" width="1.42578125" hidden="1" customWidth="1"/>
    <col min="40" max="40" width="41.5703125" hidden="1" customWidth="1"/>
    <col min="41" max="41" width="11.7109375" hidden="1" customWidth="1"/>
    <col min="42" max="42" width="2.28515625" hidden="1" customWidth="1"/>
    <col min="43" max="47" width="10.7109375" hidden="1" customWidth="1"/>
    <col min="48" max="48" width="1.42578125" hidden="1" customWidth="1"/>
    <col min="49" max="49" width="3.42578125" hidden="1" customWidth="1"/>
    <col min="50" max="50" width="16.7109375" hidden="1" customWidth="1"/>
    <col min="51" max="51" width="5.7109375" hidden="1" customWidth="1"/>
    <col min="52" max="54" width="11.7109375" hidden="1" customWidth="1"/>
    <col min="55" max="55" width="2.7109375" hidden="1" customWidth="1"/>
    <col min="56" max="56" width="16.7109375" hidden="1" customWidth="1"/>
    <col min="57" max="57" width="5.7109375" hidden="1" customWidth="1"/>
    <col min="58" max="60" width="11.7109375" hidden="1" customWidth="1"/>
    <col min="61" max="61" width="2.7109375" hidden="1" customWidth="1"/>
    <col min="62" max="62" width="16.7109375" hidden="1" customWidth="1"/>
    <col min="63" max="63" width="5.7109375" hidden="1" customWidth="1"/>
    <col min="64" max="66" width="11.7109375" hidden="1" customWidth="1"/>
    <col min="67" max="68" width="2.7109375" hidden="1" customWidth="1"/>
    <col min="69" max="70" width="22.7109375" hidden="1" customWidth="1"/>
    <col min="71" max="71" width="5.7109375" hidden="1" customWidth="1"/>
    <col min="72" max="72" width="3.28515625" customWidth="1"/>
    <col min="73" max="73" width="22.7109375" customWidth="1"/>
    <col min="74" max="74" width="2.7109375" customWidth="1"/>
    <col min="75" max="75" width="22.7109375" customWidth="1"/>
  </cols>
  <sheetData>
    <row r="1" spans="1:75" ht="15.75" customHeight="1">
      <c r="A1" s="40"/>
      <c r="B1" s="1"/>
      <c r="C1" s="13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4"/>
      <c r="AL1" s="482"/>
      <c r="AM1" s="1"/>
      <c r="AN1" s="1"/>
      <c r="AO1" s="1"/>
      <c r="AP1" s="4"/>
      <c r="AQ1" s="1"/>
      <c r="AR1" s="1"/>
      <c r="AS1" s="1"/>
      <c r="AT1" s="1"/>
      <c r="AU1" s="1"/>
      <c r="AV1" s="1"/>
      <c r="AW1" s="1"/>
      <c r="AX1" s="1018" t="s">
        <v>467</v>
      </c>
      <c r="AY1" s="742"/>
      <c r="AZ1" s="1015" t="s">
        <v>468</v>
      </c>
      <c r="BA1" s="742"/>
      <c r="BB1" s="483" t="s">
        <v>469</v>
      </c>
      <c r="BC1" s="484"/>
      <c r="BD1" s="1016" t="s">
        <v>470</v>
      </c>
      <c r="BE1" s="742"/>
      <c r="BF1" s="1015" t="str">
        <f>AZ1</f>
        <v xml:space="preserve">AGE &lt;=60 </v>
      </c>
      <c r="BG1" s="742"/>
      <c r="BH1" s="485" t="s">
        <v>469</v>
      </c>
      <c r="BI1" s="484"/>
      <c r="BJ1" s="1016" t="s">
        <v>471</v>
      </c>
      <c r="BK1" s="742"/>
      <c r="BL1" s="1015" t="str">
        <f>BF1</f>
        <v xml:space="preserve">AGE &lt;=60 </v>
      </c>
      <c r="BM1" s="742"/>
      <c r="BN1" s="485" t="s">
        <v>469</v>
      </c>
      <c r="BO1" s="484"/>
      <c r="BP1" s="16"/>
      <c r="BQ1" s="16"/>
      <c r="BR1" s="16"/>
      <c r="BS1" s="16"/>
      <c r="BT1" s="26"/>
      <c r="BU1" s="16"/>
      <c r="BV1" s="16"/>
      <c r="BW1" s="16"/>
    </row>
    <row r="2" spans="1:75" ht="13.5" customHeight="1">
      <c r="A2" s="486"/>
      <c r="B2" s="487" t="s">
        <v>472</v>
      </c>
      <c r="C2" s="487" t="s">
        <v>473</v>
      </c>
      <c r="D2" s="487" t="s">
        <v>474</v>
      </c>
      <c r="E2" s="487" t="s">
        <v>475</v>
      </c>
      <c r="F2" s="488"/>
      <c r="G2" s="487" t="s">
        <v>157</v>
      </c>
      <c r="H2" s="487" t="s">
        <v>476</v>
      </c>
      <c r="I2" s="488"/>
      <c r="J2" s="487" t="s">
        <v>157</v>
      </c>
      <c r="K2" s="487" t="s">
        <v>476</v>
      </c>
      <c r="L2" s="488"/>
      <c r="M2" s="489" t="s">
        <v>157</v>
      </c>
      <c r="N2" s="489" t="s">
        <v>477</v>
      </c>
      <c r="O2" s="489" t="s">
        <v>478</v>
      </c>
      <c r="P2" s="489" t="s">
        <v>474</v>
      </c>
      <c r="Q2" s="490" t="s">
        <v>479</v>
      </c>
      <c r="R2" s="489" t="s">
        <v>480</v>
      </c>
      <c r="S2" s="488"/>
      <c r="T2" s="491" t="s">
        <v>157</v>
      </c>
      <c r="U2" s="491" t="s">
        <v>481</v>
      </c>
      <c r="V2" s="491" t="s">
        <v>482</v>
      </c>
      <c r="W2" s="491" t="s">
        <v>483</v>
      </c>
      <c r="X2" s="491" t="s">
        <v>484</v>
      </c>
      <c r="Y2" s="491" t="s">
        <v>485</v>
      </c>
      <c r="Z2" s="488"/>
      <c r="AA2" s="492"/>
      <c r="AB2" s="1022" t="s">
        <v>486</v>
      </c>
      <c r="AC2" s="666"/>
      <c r="AD2" s="493">
        <f>DATE(YEAR(AD3),MONTH(AD3)-1,DAY(AD3))</f>
        <v>45352</v>
      </c>
      <c r="AE2" s="488"/>
      <c r="AF2" s="1022" t="s">
        <v>487</v>
      </c>
      <c r="AG2" s="666"/>
      <c r="AH2" s="494">
        <f>IFERROR(DATE(YEAR(AH3),MONTH(AH3)-1,DAY(AH3)),G3)</f>
        <v>45444</v>
      </c>
      <c r="AI2" s="486"/>
      <c r="AJ2" s="492"/>
      <c r="AK2" s="4"/>
      <c r="AL2" s="495" t="s">
        <v>488</v>
      </c>
      <c r="AM2" s="488"/>
      <c r="AN2" s="496" t="s">
        <v>489</v>
      </c>
      <c r="AO2" s="497" t="s">
        <v>490</v>
      </c>
      <c r="AP2" s="4"/>
      <c r="AQ2" s="498" t="s">
        <v>491</v>
      </c>
      <c r="AR2" s="499" t="str">
        <f>IF(AND(DATA!D5="CPS",DATA!J14="YES",AO16&gt;150000),"SPLIT",IF(AND(DATA!D5="GPF",DATA!J13&gt;0),"SPLIT","NO"))</f>
        <v>NO</v>
      </c>
      <c r="AS2" s="500" t="s">
        <v>492</v>
      </c>
      <c r="AT2" s="501" t="s">
        <v>493</v>
      </c>
      <c r="AU2" s="500" t="s">
        <v>494</v>
      </c>
      <c r="AV2" s="488"/>
      <c r="AW2" s="492"/>
      <c r="AX2" s="502" t="s">
        <v>495</v>
      </c>
      <c r="AY2" s="503">
        <v>0</v>
      </c>
      <c r="AZ2" s="504">
        <v>250000</v>
      </c>
      <c r="BA2" s="504">
        <f t="shared" ref="BA2:BA5" si="0">ROUND(AZ2*AY2,0)</f>
        <v>0</v>
      </c>
      <c r="BB2" s="505">
        <f>IF(AND(KEY!$BR$11&gt;=5000000,KEY!$BR$11&lt;=10000000),5000000,IF(AND(KEY!$BR$11&gt;10000000,KEY!$BR$11&lt;=20000000),10000000,IF(AND(KEY!$BR$11&gt;20000000,KEY!$BR$11&lt;=50000000),20000000,IF(AND(KEY!$BR$11&gt;50000000),50000000,0))))</f>
        <v>0</v>
      </c>
      <c r="BC2" s="506"/>
      <c r="BD2" s="502" t="s">
        <v>496</v>
      </c>
      <c r="BE2" s="503">
        <v>0</v>
      </c>
      <c r="BF2" s="504">
        <v>300000</v>
      </c>
      <c r="BG2" s="504">
        <f t="shared" ref="BG2:BG7" si="1">ROUND(BF2*BE2,0)</f>
        <v>0</v>
      </c>
      <c r="BH2" s="505">
        <f>IF(AND(KEY!$BR$11&gt;=5000000,KEY!$BR$11&lt;=10000000),5000000,IF(AND(KEY!$BR$11&gt;10000000,KEY!$BR$11&lt;=20000000),10000000,IF(AND(KEY!$BR$11&gt;20000000,KEY!$BR$11&lt;=50000000),20000000,IF(AND(KEY!$BR$11&gt;50000000),50000000,0))))</f>
        <v>0</v>
      </c>
      <c r="BI2" s="506"/>
      <c r="BJ2" s="502" t="str">
        <f>IF(KEY!$BA$8&lt;=KEY!$BG$8,AX2,BD2)</f>
        <v>Rs.  000000 - Rs.  300000</v>
      </c>
      <c r="BK2" s="503">
        <f>IF(KEY!$BA$8&lt;=KEY!$BG$8,AY2,BE2)</f>
        <v>0</v>
      </c>
      <c r="BL2" s="504">
        <f>IF(KEY!$BA$8&lt;=KEY!$BG$8,AZ2,BF2)</f>
        <v>300000</v>
      </c>
      <c r="BM2" s="504">
        <f>IF(KEY!$BA$8&lt;=KEY!$BG$8,BA2,BG2)</f>
        <v>0</v>
      </c>
      <c r="BN2" s="505">
        <f>IF(KEY!$BA$8&lt;=KEY!$BG$8,BB2,BH2)</f>
        <v>0</v>
      </c>
      <c r="BO2" s="506"/>
      <c r="BP2" s="16"/>
      <c r="BQ2" s="507" t="s">
        <v>497</v>
      </c>
      <c r="BR2" s="507" t="s">
        <v>498</v>
      </c>
      <c r="BS2" s="492"/>
      <c r="BT2" s="486"/>
      <c r="BU2" s="492"/>
      <c r="BV2" s="130"/>
      <c r="BW2" s="492"/>
    </row>
    <row r="3" spans="1:75" ht="15.75" hidden="1" customHeight="1">
      <c r="A3" s="508"/>
      <c r="B3" s="492"/>
      <c r="C3" s="492"/>
      <c r="D3" s="509">
        <f>C4</f>
        <v>20000</v>
      </c>
      <c r="E3" s="223">
        <v>20000</v>
      </c>
      <c r="F3" s="508"/>
      <c r="G3" s="510">
        <v>45352</v>
      </c>
      <c r="H3" s="511">
        <f>IF(DATA!D3="",C7,DATA!D3)</f>
        <v>70850</v>
      </c>
      <c r="I3" s="508"/>
      <c r="J3" s="512">
        <v>45689</v>
      </c>
      <c r="K3" s="497">
        <f>IF(VALUE($H$10)&gt;VALUE(J3),LOOKUP($H$3,BP_2021,BP_2020),H3)</f>
        <v>70850</v>
      </c>
      <c r="L3" s="508"/>
      <c r="M3" s="513">
        <f t="shared" ref="M3:M14" si="2">INDEX($J$29:$K$40,ROWS(J29:K$40),1)</f>
        <v>44562</v>
      </c>
      <c r="N3" s="514" t="str">
        <f t="shared" ref="N3:N14" si="3">IF(VALUE($H$8)=VALUE(M3),$G$8, "")</f>
        <v/>
      </c>
      <c r="O3" s="515">
        <f t="shared" ref="O3:O14" si="4">INDEX($J$29:$K$40,ROWS(J29:K$40),2)</f>
        <v>61960</v>
      </c>
      <c r="P3" s="514" t="str">
        <f t="shared" ref="P3:P42" si="5">IF(VALUE($H$11)=VALUE(M3),$G$11, "")</f>
        <v/>
      </c>
      <c r="Q3" s="515">
        <f t="shared" ref="Q3:Q42" si="6">IF(VALUE($H$11)&gt;VALUE(M3),LOOKUP(O3,BP_2021,BP_2020), IF(VALUE($H$11)&lt;=VALUE(M3),LOOKUP(O3,BP_2020,BP_2021),O3))</f>
        <v>60260</v>
      </c>
      <c r="R3" s="515">
        <f t="shared" ref="R3:R42" si="7">IF(VALUE($H$11)=VALUE($M$42),O3,MIN(O3,Q3))</f>
        <v>60260</v>
      </c>
      <c r="S3" s="508"/>
      <c r="T3" s="516">
        <f>DATA!L3</f>
        <v>45352</v>
      </c>
      <c r="U3" s="517">
        <f t="shared" ref="U3:U14" si="8">IF(VALUE(T3)&gt;=VALUE($AC$5),$AD$5,$AD$4)</f>
        <v>0.26390000000000002</v>
      </c>
      <c r="V3" s="517">
        <f t="shared" ref="V3:V14" si="9">IFERROR(IF(VALUE(T3)&gt;=VALUE($AG$5),$AH$5,U3),U3)</f>
        <v>0.26390000000000002</v>
      </c>
      <c r="W3" s="517">
        <f t="shared" ref="W3:W12" si="10">MAX(U3,V3)</f>
        <v>0.26390000000000002</v>
      </c>
      <c r="X3" s="518">
        <f>IFERROR(DATA!C37,12%)</f>
        <v>0.1</v>
      </c>
      <c r="Y3" s="519">
        <f>DATA!C38</f>
        <v>0</v>
      </c>
      <c r="Z3" s="508"/>
      <c r="AA3" s="513"/>
      <c r="AB3" s="1023" t="s">
        <v>146</v>
      </c>
      <c r="AC3" s="666"/>
      <c r="AD3" s="520">
        <f>IF(DATA!I40="",AA34,IF(DATA!I40="NO CHANGE",G59,DATA!I40))</f>
        <v>45383</v>
      </c>
      <c r="AE3" s="508"/>
      <c r="AF3" s="1023" t="s">
        <v>149</v>
      </c>
      <c r="AG3" s="666"/>
      <c r="AH3" s="516">
        <f>IF(DATA!I41="",AA39,IF(DATA!I41="NO CHANGE",G59,DATA!I41))</f>
        <v>45474</v>
      </c>
      <c r="AI3" s="508"/>
      <c r="AJ3" s="264"/>
      <c r="AK3" s="4"/>
      <c r="AL3" s="521" t="s">
        <v>499</v>
      </c>
      <c r="AM3" s="508"/>
      <c r="AN3" s="270" t="str">
        <f>'ANNEXURE II'!D23</f>
        <v>GPF_CPS  :   A/c No. :  9963535304</v>
      </c>
      <c r="AO3" s="522">
        <f>'ANNEXURE I'!Q25</f>
        <v>120000</v>
      </c>
      <c r="AP3" s="4"/>
      <c r="AQ3" s="523">
        <f>IF(DATA!$D$5="CPS",AR24,AO3)</f>
        <v>120000</v>
      </c>
      <c r="AR3" s="523">
        <f>IF(AR2="SPLIT", AQ3, AO3)</f>
        <v>120000</v>
      </c>
      <c r="AS3" s="523">
        <f>IF(AND(DATA!$D$5="CPS",AR2="SPLIT"),MIN(150000,AR3),AO3)</f>
        <v>120000</v>
      </c>
      <c r="AT3" s="523">
        <f>AS3</f>
        <v>120000</v>
      </c>
      <c r="AU3" s="523">
        <f>IF(KEY!$AY$29="NEW",0,AT3)</f>
        <v>0</v>
      </c>
      <c r="AV3" s="508"/>
      <c r="AW3" s="264"/>
      <c r="AX3" s="502" t="s">
        <v>500</v>
      </c>
      <c r="AY3" s="503">
        <v>0.05</v>
      </c>
      <c r="AZ3" s="504">
        <f>MIN(MAX(KEY!$BR$11-AZ2,0),250000)</f>
        <v>250000</v>
      </c>
      <c r="BA3" s="504">
        <f t="shared" si="0"/>
        <v>12500</v>
      </c>
      <c r="BB3" s="505">
        <f>MAX(0,IF(AND(BB2&lt;=250000),0,  IF(AND(BB2&gt;250000,AND(BB2&lt;=500000)),ROUND((BB2-250000)*5%,0),  IF(AND(BB2&gt;500000,AND(BB2&lt;=1000000)),ROUND(12500+(BB2-500000)*20%,0),  IF(AND(BB2&gt;1000000),ROUND(112500+(BB2-1000000)*30%,0),0)))))</f>
        <v>0</v>
      </c>
      <c r="BC3" s="506"/>
      <c r="BD3" s="502" t="s">
        <v>501</v>
      </c>
      <c r="BE3" s="503">
        <v>0.05</v>
      </c>
      <c r="BF3" s="504">
        <f>MIN(MAX((KEY!$BR$4-KEY!$BR$5)-BF2-AT35,0),400000)</f>
        <v>400000</v>
      </c>
      <c r="BG3" s="504">
        <f t="shared" si="1"/>
        <v>20000</v>
      </c>
      <c r="BH3" s="505">
        <f>IF(AND(BH2&lt;=300000),0,
IF(AND(BH2&gt;300000,AND(BH2&lt;=600000)),ROUND((#REF!-300000)*5%,0),
IF(AND(BH2&gt;600000,AND(BH2&lt;=900000)),ROUND(15000+(BH2-600000)*10%,0),
IF(AND(BH2&gt;900000,AND(BH2&lt;=1200000)),ROUND(45000+(BH2-900000)*15%,0),
IF(AND(BH2&gt;1200000,AND(BH2&lt;=1500000)),ROUND(90000+(BH2-1200000)*20%,0),
IF(AND(BH2&gt;1500000),ROUND(150000+(BH2-1500000)*30%,0),0))))))</f>
        <v>0</v>
      </c>
      <c r="BI3" s="506"/>
      <c r="BJ3" s="502" t="str">
        <f>IF(KEY!$BA$8&lt;=KEY!$BG$8,AX3,BD3)</f>
        <v>Rs.  300001 - Rs.  700000</v>
      </c>
      <c r="BK3" s="503">
        <f>IF(KEY!$BA$8&lt;=KEY!$BG$8,AY3,BE3)</f>
        <v>0.05</v>
      </c>
      <c r="BL3" s="504">
        <f>IF(KEY!$BA$8&lt;=KEY!$BG$8,AZ3,BF3)</f>
        <v>400000</v>
      </c>
      <c r="BM3" s="504">
        <f>IF(KEY!$BA$8&lt;=KEY!$BG$8,BA3,BG3)</f>
        <v>20000</v>
      </c>
      <c r="BN3" s="505">
        <f>IF(KEY!$BA$8&lt;=KEY!$BG$8,BB3,BH3)</f>
        <v>0</v>
      </c>
      <c r="BO3" s="506"/>
      <c r="BP3" s="16"/>
      <c r="BQ3" s="524" t="s">
        <v>502</v>
      </c>
      <c r="BR3" s="525" t="s">
        <v>503</v>
      </c>
      <c r="BS3" s="264"/>
      <c r="BT3" s="508"/>
      <c r="BU3" s="264"/>
      <c r="BV3" s="16"/>
      <c r="BW3" s="264"/>
    </row>
    <row r="4" spans="1:75" ht="15.75" hidden="1" customHeight="1">
      <c r="A4" s="508"/>
      <c r="B4" s="1"/>
      <c r="C4" s="497">
        <f t="shared" ref="C4:D4" si="11">B5</f>
        <v>20000</v>
      </c>
      <c r="D4" s="509">
        <f t="shared" si="11"/>
        <v>20600</v>
      </c>
      <c r="E4" s="223">
        <v>20600</v>
      </c>
      <c r="F4" s="508"/>
      <c r="G4" s="526">
        <f>J17</f>
        <v>45261</v>
      </c>
      <c r="H4" s="527">
        <f>IF(VALUE($H$9)&gt;VALUE(J17),LOOKUP($K$16,BP_2021,BP_2020),K16)</f>
        <v>67190</v>
      </c>
      <c r="I4" s="508"/>
      <c r="J4" s="512">
        <v>45658</v>
      </c>
      <c r="K4" s="497">
        <f t="shared" ref="K4:K16" si="12">IF(VALUE($H$10)&gt;VALUE(J4),LOOKUP($H$3,BP_2021,BP_2020),K3)</f>
        <v>70850</v>
      </c>
      <c r="L4" s="508"/>
      <c r="M4" s="513">
        <f t="shared" si="2"/>
        <v>44593</v>
      </c>
      <c r="N4" s="514" t="str">
        <f t="shared" si="3"/>
        <v/>
      </c>
      <c r="O4" s="515">
        <f t="shared" si="4"/>
        <v>61960</v>
      </c>
      <c r="P4" s="514" t="str">
        <f t="shared" si="5"/>
        <v/>
      </c>
      <c r="Q4" s="515">
        <f t="shared" si="6"/>
        <v>60260</v>
      </c>
      <c r="R4" s="515">
        <f t="shared" si="7"/>
        <v>60260</v>
      </c>
      <c r="S4" s="508"/>
      <c r="T4" s="516">
        <f>DATA!L4</f>
        <v>45383</v>
      </c>
      <c r="U4" s="517">
        <f t="shared" si="8"/>
        <v>0.30030000000000001</v>
      </c>
      <c r="V4" s="517">
        <f t="shared" si="9"/>
        <v>0.30030000000000001</v>
      </c>
      <c r="W4" s="517">
        <f t="shared" si="10"/>
        <v>0.30030000000000001</v>
      </c>
      <c r="X4" s="518">
        <f>IFERROR(IF(OR(DATA!$D$37="",DATA!$D$37="NO CHANGE"),DATA!$C$37,IF(VALUE(DATA!$D$37)=VALUE(T4),(DATA!$C$37/DAY((EOMONTH(DATA!$D$37,0)))*(DATA!$E$39-1))+(DATA!$E$37/DAY((EOMONTH(DATA!$D$37,0)))*(DAY(EOMONTH(DATA!$D$37,0))-DATA!$E$39+1)),IF(VALUE(DATA!$D$37)&lt;VALUE(T4),DATA!$E$37,DATA!$C$37))),X3)</f>
        <v>0.1</v>
      </c>
      <c r="Y4" s="519">
        <f>IFERROR(IF(OR(DATA!$D$38="",DATA!$D$38="NO CHANGE"),DATA!$C$38,IF(VALUE(DATA!$D$38)=VALUE(T4),(DATA!$C$38/DAY((EOMONTH(DATA!$D$38,0)))*(DATA!$E$40-1))+(DATA!$E$38/DAY((EOMONTH(DATA!$D$38,0)))*(DAY(EOMONTH(DATA!$D$38,0))-DATA!$E$40+1)),IF(VALUE(DATA!$D$38)&lt;VALUE(T4),DATA!$E$38, DATA!$C$38))),Y3)</f>
        <v>0</v>
      </c>
      <c r="Z4" s="508"/>
      <c r="AA4" s="513"/>
      <c r="AB4" s="528" t="s">
        <v>504</v>
      </c>
      <c r="AC4" s="529">
        <f>DATA!L3</f>
        <v>45352</v>
      </c>
      <c r="AD4" s="530">
        <v>0.26390000000000002</v>
      </c>
      <c r="AE4" s="508"/>
      <c r="AF4" s="528" t="s">
        <v>504</v>
      </c>
      <c r="AG4" s="531">
        <f t="shared" ref="AG4:AH4" si="13">AC5</f>
        <v>45383</v>
      </c>
      <c r="AH4" s="530">
        <f t="shared" si="13"/>
        <v>0.30030000000000001</v>
      </c>
      <c r="AI4" s="508"/>
      <c r="AJ4" s="264"/>
      <c r="AK4" s="4"/>
      <c r="AL4" s="521" t="s">
        <v>34</v>
      </c>
      <c r="AM4" s="508"/>
      <c r="AN4" s="270" t="str">
        <f>'ANNEXURE II'!D24</f>
        <v>A.P.G.L.I.  :   A/c No. :  L-123456</v>
      </c>
      <c r="AO4" s="522">
        <f>'ANNEXURE I'!R25</f>
        <v>30000</v>
      </c>
      <c r="AP4" s="4"/>
      <c r="AQ4" s="523">
        <f t="shared" ref="AQ4:AQ15" si="14">AO4</f>
        <v>30000</v>
      </c>
      <c r="AR4" s="523">
        <f t="shared" ref="AR4:AT4" si="15">AQ4</f>
        <v>30000</v>
      </c>
      <c r="AS4" s="523">
        <f t="shared" si="15"/>
        <v>30000</v>
      </c>
      <c r="AT4" s="523">
        <f t="shared" si="15"/>
        <v>30000</v>
      </c>
      <c r="AU4" s="523">
        <f>IF(KEY!$AY$29="NEW",0,AT4)</f>
        <v>0</v>
      </c>
      <c r="AV4" s="508"/>
      <c r="AW4" s="264"/>
      <c r="AX4" s="502" t="s">
        <v>505</v>
      </c>
      <c r="AY4" s="503">
        <v>0.2</v>
      </c>
      <c r="AZ4" s="504">
        <f>MIN(MAX(KEY!$BR$11-(AZ2+AZ3),0),500000)</f>
        <v>448430</v>
      </c>
      <c r="BA4" s="504">
        <f t="shared" si="0"/>
        <v>89686</v>
      </c>
      <c r="BB4" s="505">
        <f>IF(AND(BB2&gt;5000000,BB2&lt;=10000000),ROUND(BB3*10%,0),IF(AND(BB2&gt;10000000,BB2&lt;=20000000),ROUND(BB3*15%,0),IF(AND(BB2&gt;20000000,BB2&lt;=50000000),ROUND(BB3*25%,0),IF(AND(BB2&gt;5000000),ROUND(BB3*37%,0),0))))</f>
        <v>0</v>
      </c>
      <c r="BC4" s="506"/>
      <c r="BD4" s="502" t="s">
        <v>506</v>
      </c>
      <c r="BE4" s="503">
        <v>0.1</v>
      </c>
      <c r="BF4" s="504">
        <f>MIN(MAX((KEY!$BR$4-KEY!$BR$5)-(BF2+BF3)-AT35,0),300000)</f>
        <v>300000</v>
      </c>
      <c r="BG4" s="504">
        <f t="shared" si="1"/>
        <v>30000</v>
      </c>
      <c r="BH4" s="505">
        <f>IF(AND(BH2&gt;5000000,BH2&lt;=10000000),ROUND(BH3*10%,0),IF(AND(BH2&gt;10000000,BH2&lt;=20000000),ROUND(BH3*15%,0),IF(AND(BH2&gt;20000000),ROUND(BH3*25%,0),0)))</f>
        <v>0</v>
      </c>
      <c r="BI4" s="506"/>
      <c r="BJ4" s="502" t="str">
        <f>IF(KEY!$BA$8&lt;=KEY!$BG$8,AX4,BD4)</f>
        <v>Rs.  700001 - Rs. 1000000</v>
      </c>
      <c r="BK4" s="503">
        <f>IF(KEY!$BA$8&lt;=KEY!$BG$8,AY4,BE4)</f>
        <v>0.1</v>
      </c>
      <c r="BL4" s="504">
        <f>IF(KEY!$BA$8&lt;=KEY!$BG$8,AZ4,BF4)</f>
        <v>300000</v>
      </c>
      <c r="BM4" s="504">
        <f>IF(KEY!$BA$8&lt;=KEY!$BG$8,BA4,BG4)</f>
        <v>30000</v>
      </c>
      <c r="BN4" s="505">
        <f>IF(KEY!$BA$8&lt;=KEY!$BG$8,BB4,BH4)</f>
        <v>0</v>
      </c>
      <c r="BO4" s="506"/>
      <c r="BP4" s="16"/>
      <c r="BQ4" s="524" t="s">
        <v>257</v>
      </c>
      <c r="BR4" s="532">
        <f>ROUND(('ANNEXURE II'!I7+'ANNEXURE II'!I20),-1)</f>
        <v>1155840</v>
      </c>
      <c r="BS4" s="264"/>
      <c r="BT4" s="508"/>
      <c r="BU4" s="264"/>
      <c r="BV4" s="16"/>
      <c r="BW4" s="264"/>
    </row>
    <row r="5" spans="1:75" ht="15.75" hidden="1" customHeight="1">
      <c r="A5" s="508"/>
      <c r="B5" s="497">
        <v>20000</v>
      </c>
      <c r="C5" s="497">
        <f t="shared" ref="C5:D5" si="16">B6</f>
        <v>20600</v>
      </c>
      <c r="D5" s="509">
        <f t="shared" si="16"/>
        <v>21200</v>
      </c>
      <c r="E5" s="223">
        <v>21200</v>
      </c>
      <c r="F5" s="508"/>
      <c r="G5" s="526">
        <f>J29</f>
        <v>44896</v>
      </c>
      <c r="H5" s="527">
        <f>IF(VALUE($H$8)&gt;VALUE(J29),LOOKUP($K$28,BP_2021,BP_2020),K28)</f>
        <v>63660</v>
      </c>
      <c r="I5" s="508"/>
      <c r="J5" s="512">
        <v>45627</v>
      </c>
      <c r="K5" s="497">
        <f t="shared" si="12"/>
        <v>69020</v>
      </c>
      <c r="L5" s="508"/>
      <c r="M5" s="513">
        <f t="shared" si="2"/>
        <v>44621</v>
      </c>
      <c r="N5" s="514" t="str">
        <f t="shared" si="3"/>
        <v/>
      </c>
      <c r="O5" s="515">
        <f t="shared" si="4"/>
        <v>61960</v>
      </c>
      <c r="P5" s="514" t="str">
        <f t="shared" si="5"/>
        <v/>
      </c>
      <c r="Q5" s="515">
        <f t="shared" si="6"/>
        <v>60260</v>
      </c>
      <c r="R5" s="515">
        <f t="shared" si="7"/>
        <v>60260</v>
      </c>
      <c r="S5" s="508"/>
      <c r="T5" s="516">
        <f>DATA!L5</f>
        <v>45413</v>
      </c>
      <c r="U5" s="517">
        <f t="shared" si="8"/>
        <v>0.30030000000000001</v>
      </c>
      <c r="V5" s="517">
        <f t="shared" si="9"/>
        <v>0.30030000000000001</v>
      </c>
      <c r="W5" s="517">
        <f t="shared" si="10"/>
        <v>0.30030000000000001</v>
      </c>
      <c r="X5" s="518">
        <f>IFERROR(IF(OR(DATA!$D$37="",DATA!$D$37="NO CHANGE"),DATA!$C$37,IF(VALUE(DATA!$D$37)=VALUE(T5),(DATA!$C$37/DAY((EOMONTH(DATA!$D$37,0)))*(DATA!$E$39-1))+(DATA!$E$37/DAY((EOMONTH(DATA!$D$37,0)))*(DAY(EOMONTH(DATA!$D$37,0))-DATA!$E$39+1)),IF(VALUE(DATA!$D$37)&lt;VALUE(T5),DATA!$E$37,DATA!$C$37))),X4)</f>
        <v>0.1</v>
      </c>
      <c r="Y5" s="519">
        <f>IFERROR(IF(OR(DATA!$D$38="",DATA!$D$38="NO CHANGE"),DATA!$C$38,IF(VALUE(DATA!$D$38)=VALUE(T5),(DATA!$C$38/DAY((EOMONTH(DATA!$D$38,0)))*(DATA!$E$40-1))+(DATA!$E$38/DAY((EOMONTH(DATA!$D$38,0)))*(DAY(EOMONTH(DATA!$D$38,0))-DATA!$E$40+1)),IF(VALUE(DATA!$D$38)&lt;VALUE(T5),DATA!$E$38, DATA!$C$38))),Y4)</f>
        <v>0</v>
      </c>
      <c r="Z5" s="508"/>
      <c r="AA5" s="513"/>
      <c r="AB5" s="528" t="s">
        <v>504</v>
      </c>
      <c r="AC5" s="531">
        <f>AD3</f>
        <v>45383</v>
      </c>
      <c r="AD5" s="533">
        <v>0.30030000000000001</v>
      </c>
      <c r="AE5" s="508"/>
      <c r="AF5" s="528" t="s">
        <v>504</v>
      </c>
      <c r="AG5" s="529">
        <f>AH3</f>
        <v>45474</v>
      </c>
      <c r="AH5" s="530">
        <v>0.3367</v>
      </c>
      <c r="AI5" s="508"/>
      <c r="AJ5" s="264"/>
      <c r="AK5" s="4"/>
      <c r="AL5" s="521" t="s">
        <v>507</v>
      </c>
      <c r="AM5" s="508"/>
      <c r="AN5" s="270" t="str">
        <f>'ANNEXURE II'!D25</f>
        <v>G.I.S.    ( Group Insurance Scheme )</v>
      </c>
      <c r="AO5" s="522">
        <f>'ANNEXURE I'!S25</f>
        <v>720</v>
      </c>
      <c r="AP5" s="4"/>
      <c r="AQ5" s="523">
        <f t="shared" si="14"/>
        <v>720</v>
      </c>
      <c r="AR5" s="523">
        <f t="shared" ref="AR5:AT5" si="17">AQ5</f>
        <v>720</v>
      </c>
      <c r="AS5" s="523">
        <f t="shared" si="17"/>
        <v>720</v>
      </c>
      <c r="AT5" s="523">
        <f t="shared" si="17"/>
        <v>720</v>
      </c>
      <c r="AU5" s="523">
        <f>IF(KEY!$AY$29="NEW",0,AT5)</f>
        <v>0</v>
      </c>
      <c r="AV5" s="508"/>
      <c r="AW5" s="264"/>
      <c r="AX5" s="502" t="s">
        <v>508</v>
      </c>
      <c r="AY5" s="503">
        <v>0.3</v>
      </c>
      <c r="AZ5" s="504">
        <f>MIN(MAX(KEY!$BR$11-(AZ2+AZ3+AZ4),0))</f>
        <v>0</v>
      </c>
      <c r="BA5" s="504">
        <f t="shared" si="0"/>
        <v>0</v>
      </c>
      <c r="BB5" s="505" t="b">
        <f>IF(AND(AZ8&gt;5000000,AZ8&lt;=10000000),ROUND(BA8*10%,0),
IF(AND(AZ8&gt;10000000,AZ8&lt;=20000000),ROUND(BA8*15%,0),
IF(AND(AZ8&gt;20000000,AZ8&lt;=50000000),ROUND(BA8*25%,0),
IF(AND(AZ8&gt;5000000),ROUND(BA8*37%,0)))))</f>
        <v>0</v>
      </c>
      <c r="BC5" s="506"/>
      <c r="BD5" s="502" t="s">
        <v>509</v>
      </c>
      <c r="BE5" s="503">
        <v>0.15</v>
      </c>
      <c r="BF5" s="504">
        <f>MIN(MAX((KEY!$BR$4-KEY!$BR$5)-(BF2+BF3+BF4)-AT35,0),200000)</f>
        <v>80840</v>
      </c>
      <c r="BG5" s="504">
        <f t="shared" si="1"/>
        <v>12126</v>
      </c>
      <c r="BH5" s="534">
        <f>MAX(0,(BH13+BH15)-(BH4+BH3)-(BR10-BH2))</f>
        <v>0</v>
      </c>
      <c r="BI5" s="506"/>
      <c r="BJ5" s="502" t="str">
        <f>IF(KEY!$BA$8&lt;=KEY!$BG$8,AX5,BD5)</f>
        <v>Rs. 1000001 - Rs.1200000</v>
      </c>
      <c r="BK5" s="503">
        <f>IF(KEY!$BA$8&lt;=KEY!$BG$8,AY5,BE5)</f>
        <v>0.15</v>
      </c>
      <c r="BL5" s="504">
        <f>IF(KEY!$BA$8&lt;=KEY!$BG$8,AZ5,BF5)</f>
        <v>80840</v>
      </c>
      <c r="BM5" s="504">
        <f>IF(KEY!$BA$8&lt;=KEY!$BG$8,BA5,BG5)</f>
        <v>12126</v>
      </c>
      <c r="BN5" s="505">
        <f>IF(KEY!$BA$8&lt;=KEY!$BG$8,BB5,BH5)</f>
        <v>0</v>
      </c>
      <c r="BO5" s="506"/>
      <c r="BP5" s="16"/>
      <c r="BQ5" s="524" t="s">
        <v>510</v>
      </c>
      <c r="BR5" s="532">
        <f>IF(DATA!D5="CPS",KEY!AU19,0)+AU31</f>
        <v>50000</v>
      </c>
      <c r="BS5" s="264"/>
      <c r="BT5" s="508"/>
      <c r="BU5" s="264"/>
      <c r="BV5" s="16"/>
      <c r="BW5" s="264"/>
    </row>
    <row r="6" spans="1:75" ht="15.75" hidden="1" customHeight="1">
      <c r="A6" s="508"/>
      <c r="B6" s="497">
        <v>20600</v>
      </c>
      <c r="C6" s="497">
        <f t="shared" ref="C6:D6" si="18">B7</f>
        <v>21200</v>
      </c>
      <c r="D6" s="509">
        <f t="shared" si="18"/>
        <v>21800</v>
      </c>
      <c r="E6" s="223">
        <v>21800</v>
      </c>
      <c r="F6" s="508"/>
      <c r="G6" s="264"/>
      <c r="H6" s="264"/>
      <c r="I6" s="508"/>
      <c r="J6" s="512">
        <v>45597</v>
      </c>
      <c r="K6" s="497">
        <f t="shared" si="12"/>
        <v>69020</v>
      </c>
      <c r="L6" s="508"/>
      <c r="M6" s="513">
        <f t="shared" si="2"/>
        <v>44652</v>
      </c>
      <c r="N6" s="514" t="str">
        <f t="shared" si="3"/>
        <v/>
      </c>
      <c r="O6" s="515">
        <f t="shared" si="4"/>
        <v>61960</v>
      </c>
      <c r="P6" s="514" t="str">
        <f t="shared" si="5"/>
        <v/>
      </c>
      <c r="Q6" s="515">
        <f t="shared" si="6"/>
        <v>60260</v>
      </c>
      <c r="R6" s="515">
        <f t="shared" si="7"/>
        <v>60260</v>
      </c>
      <c r="S6" s="508"/>
      <c r="T6" s="516">
        <f>DATA!L6</f>
        <v>45444</v>
      </c>
      <c r="U6" s="517">
        <f t="shared" si="8"/>
        <v>0.30030000000000001</v>
      </c>
      <c r="V6" s="517">
        <f t="shared" si="9"/>
        <v>0.30030000000000001</v>
      </c>
      <c r="W6" s="517">
        <f t="shared" si="10"/>
        <v>0.30030000000000001</v>
      </c>
      <c r="X6" s="518">
        <f>IFERROR(IF(OR(DATA!$D$37="",DATA!$D$37="NO CHANGE"),DATA!$C$37,IF(VALUE(DATA!$D$37)=VALUE(T6),(DATA!$C$37/DAY((EOMONTH(DATA!$D$37,0)))*(DATA!$E$39-1))+(DATA!$E$37/DAY((EOMONTH(DATA!$D$37,0)))*(DAY(EOMONTH(DATA!$D$37,0))-DATA!$E$39+1)),IF(VALUE(DATA!$D$37)&lt;VALUE(T6),DATA!$E$37,DATA!$C$37))),X5)</f>
        <v>0.1</v>
      </c>
      <c r="Y6" s="519">
        <f>IFERROR(IF(OR(DATA!$D$38="",DATA!$D$38="NO CHANGE"),DATA!$C$38,IF(VALUE(DATA!$D$38)=VALUE(T6),(DATA!$C$38/DAY((EOMONTH(DATA!$D$38,0)))*(DATA!$E$40-1))+(DATA!$E$38/DAY((EOMONTH(DATA!$D$38,0)))*(DAY(EOMONTH(DATA!$D$38,0))-DATA!$E$40+1)),IF(VALUE(DATA!$D$38)&lt;VALUE(T6),DATA!$E$38, DATA!$C$38))),Y5)</f>
        <v>0</v>
      </c>
      <c r="Z6" s="508"/>
      <c r="AA6" s="513"/>
      <c r="AB6" s="528" t="s">
        <v>504</v>
      </c>
      <c r="AC6" s="531">
        <f>AH3</f>
        <v>45474</v>
      </c>
      <c r="AD6" s="533">
        <v>0.30030000000000001</v>
      </c>
      <c r="AE6" s="508"/>
      <c r="AF6" s="264"/>
      <c r="AG6" s="264"/>
      <c r="AH6" s="264"/>
      <c r="AI6" s="508"/>
      <c r="AJ6" s="264"/>
      <c r="AK6" s="4"/>
      <c r="AL6" s="521" t="s">
        <v>511</v>
      </c>
      <c r="AM6" s="508"/>
      <c r="AN6" s="270" t="str">
        <f>'ANNEXURE II'!D26</f>
        <v>L.I.C. PREMIUMS (Paid by Hand)</v>
      </c>
      <c r="AO6" s="522">
        <f>'ANNEXURE I'!W25+DATA!J3</f>
        <v>0</v>
      </c>
      <c r="AP6" s="4"/>
      <c r="AQ6" s="523">
        <f t="shared" si="14"/>
        <v>0</v>
      </c>
      <c r="AR6" s="523">
        <f t="shared" ref="AR6:AT6" si="19">AQ6</f>
        <v>0</v>
      </c>
      <c r="AS6" s="523">
        <f t="shared" si="19"/>
        <v>0</v>
      </c>
      <c r="AT6" s="523">
        <f t="shared" si="19"/>
        <v>0</v>
      </c>
      <c r="AU6" s="523">
        <f>IF(KEY!$AY$29="NEW",0,AT6)</f>
        <v>0</v>
      </c>
      <c r="AV6" s="508"/>
      <c r="AW6" s="264"/>
      <c r="AX6" s="502" t="s">
        <v>40</v>
      </c>
      <c r="AY6" s="503" t="s">
        <v>40</v>
      </c>
      <c r="AZ6" s="504">
        <v>0</v>
      </c>
      <c r="BA6" s="504" t="s">
        <v>40</v>
      </c>
      <c r="BB6" s="535">
        <f>MAX(0,(BA8+BB5)-(BB4+BB3)-($BR$11-BB2))</f>
        <v>0</v>
      </c>
      <c r="BC6" s="506"/>
      <c r="BD6" s="502" t="s">
        <v>512</v>
      </c>
      <c r="BE6" s="503">
        <v>0.2</v>
      </c>
      <c r="BF6" s="504">
        <f>MIN(MAX((KEY!$BR$4-KEY!$BR$5)-(BF2+BF3+BF4+BF5)-AT35,0),300000)</f>
        <v>0</v>
      </c>
      <c r="BG6" s="504">
        <f t="shared" si="1"/>
        <v>0</v>
      </c>
      <c r="BH6" s="536"/>
      <c r="BI6" s="506"/>
      <c r="BJ6" s="502" t="str">
        <f>IF(KEY!$BA$8&lt;=KEY!$BG$8,AX6,BD6)</f>
        <v>Rs.1200001 - Rs.1500000</v>
      </c>
      <c r="BK6" s="503">
        <f>IF(KEY!$BA$8&lt;=KEY!$BG$8,AY6,BE6)</f>
        <v>0.2</v>
      </c>
      <c r="BL6" s="504">
        <f>IF(KEY!$BA$8&lt;=KEY!$BG$8,AZ6,BF6)</f>
        <v>0</v>
      </c>
      <c r="BM6" s="504">
        <f>IF(KEY!$BA$8&lt;=KEY!$BG$8,BA6,BG6)</f>
        <v>0</v>
      </c>
      <c r="BN6" s="536">
        <f>IF(KEY!$BA$8&lt;=KEY!$BG$8,BB6,BH6)</f>
        <v>0</v>
      </c>
      <c r="BO6" s="506"/>
      <c r="BP6" s="16"/>
      <c r="BQ6" s="524" t="s">
        <v>513</v>
      </c>
      <c r="BR6" s="532">
        <f>KEY!AT34+KEY!AU19-BR5</f>
        <v>157410</v>
      </c>
      <c r="BS6" s="264"/>
      <c r="BT6" s="508"/>
      <c r="BU6" s="264"/>
      <c r="BV6" s="16"/>
      <c r="BW6" s="264"/>
    </row>
    <row r="7" spans="1:75" ht="15.75" hidden="1" customHeight="1">
      <c r="A7" s="40"/>
      <c r="B7" s="497">
        <v>21200</v>
      </c>
      <c r="C7" s="497">
        <f t="shared" ref="C7:D7" si="20">B8</f>
        <v>21800</v>
      </c>
      <c r="D7" s="509">
        <f t="shared" si="20"/>
        <v>22460</v>
      </c>
      <c r="E7" s="223">
        <v>22460</v>
      </c>
      <c r="F7" s="40"/>
      <c r="G7" s="1024" t="s">
        <v>514</v>
      </c>
      <c r="H7" s="666"/>
      <c r="I7" s="40"/>
      <c r="J7" s="512">
        <v>45566</v>
      </c>
      <c r="K7" s="497">
        <f t="shared" si="12"/>
        <v>69020</v>
      </c>
      <c r="L7" s="40"/>
      <c r="M7" s="513">
        <f t="shared" si="2"/>
        <v>44682</v>
      </c>
      <c r="N7" s="514" t="str">
        <f t="shared" si="3"/>
        <v/>
      </c>
      <c r="O7" s="515">
        <f t="shared" si="4"/>
        <v>61960</v>
      </c>
      <c r="P7" s="514" t="str">
        <f t="shared" si="5"/>
        <v/>
      </c>
      <c r="Q7" s="515">
        <f t="shared" si="6"/>
        <v>60260</v>
      </c>
      <c r="R7" s="515">
        <f t="shared" si="7"/>
        <v>60260</v>
      </c>
      <c r="S7" s="40"/>
      <c r="T7" s="516">
        <f>DATA!L7</f>
        <v>45474</v>
      </c>
      <c r="U7" s="517">
        <f t="shared" si="8"/>
        <v>0.30030000000000001</v>
      </c>
      <c r="V7" s="517">
        <f t="shared" si="9"/>
        <v>0.3367</v>
      </c>
      <c r="W7" s="517">
        <f t="shared" si="10"/>
        <v>0.3367</v>
      </c>
      <c r="X7" s="518">
        <f>IFERROR(IF(OR(DATA!$D$37="",DATA!$D$37="NO CHANGE"),DATA!$C$37,IF(VALUE(DATA!$D$37)=VALUE(T7),(DATA!$C$37/DAY((EOMONTH(DATA!$D$37,0)))*(DATA!$E$39-1))+(DATA!$E$37/DAY((EOMONTH(DATA!$D$37,0)))*(DAY(EOMONTH(DATA!$D$37,0))-DATA!$E$39+1)),IF(VALUE(DATA!$D$37)&lt;VALUE(T7),DATA!$E$37,DATA!$C$37))),X6)</f>
        <v>0.1</v>
      </c>
      <c r="Y7" s="519">
        <f>IFERROR(IF(OR(DATA!$D$38="",DATA!$D$38="NO CHANGE"),DATA!$C$38,IF(VALUE(DATA!$D$38)=VALUE(T7),(DATA!$C$38/DAY((EOMONTH(DATA!$D$38,0)))*(DATA!$E$40-1))+(DATA!$E$38/DAY((EOMONTH(DATA!$D$38,0)))*(DAY(EOMONTH(DATA!$D$38,0))-DATA!$E$40+1)),IF(VALUE(DATA!$D$38)&lt;VALUE(T7),DATA!$E$38, DATA!$C$38))),Y6)</f>
        <v>0</v>
      </c>
      <c r="Z7" s="40"/>
      <c r="AA7" s="513"/>
      <c r="AB7" s="1023" t="s">
        <v>515</v>
      </c>
      <c r="AC7" s="665"/>
      <c r="AD7" s="666"/>
      <c r="AE7" s="40"/>
      <c r="AF7" s="492"/>
      <c r="AG7" s="492"/>
      <c r="AH7" s="492"/>
      <c r="AI7" s="40"/>
      <c r="AJ7" s="1"/>
      <c r="AK7" s="4"/>
      <c r="AL7" s="521" t="s">
        <v>516</v>
      </c>
      <c r="AM7" s="40"/>
      <c r="AN7" s="270" t="str">
        <f>'ANNEXURE II'!D27</f>
        <v>POSTAL LIFE INSURANCE (PLI/RPLI)</v>
      </c>
      <c r="AO7" s="522">
        <f>DATA!J4</f>
        <v>0</v>
      </c>
      <c r="AP7" s="4"/>
      <c r="AQ7" s="523">
        <f t="shared" si="14"/>
        <v>0</v>
      </c>
      <c r="AR7" s="523">
        <f t="shared" ref="AR7:AT7" si="21">AQ7</f>
        <v>0</v>
      </c>
      <c r="AS7" s="523">
        <f t="shared" si="21"/>
        <v>0</v>
      </c>
      <c r="AT7" s="523">
        <f t="shared" si="21"/>
        <v>0</v>
      </c>
      <c r="AU7" s="523">
        <f>IF(KEY!$AY$29="NEW",0,AT7)</f>
        <v>0</v>
      </c>
      <c r="AV7" s="40"/>
      <c r="AW7" s="1"/>
      <c r="AX7" s="502" t="s">
        <v>40</v>
      </c>
      <c r="AY7" s="503" t="s">
        <v>40</v>
      </c>
      <c r="AZ7" s="504">
        <v>0</v>
      </c>
      <c r="BA7" s="504"/>
      <c r="BB7" s="537"/>
      <c r="BC7" s="506"/>
      <c r="BD7" s="502" t="s">
        <v>517</v>
      </c>
      <c r="BE7" s="503">
        <v>0.3</v>
      </c>
      <c r="BF7" s="504">
        <f>MIN(MAX((KEY!$BR$4-KEY!$BR$5)-(BF2+BF3+BF4+BF5+BF6)-AT35,0))</f>
        <v>0</v>
      </c>
      <c r="BG7" s="504">
        <f t="shared" si="1"/>
        <v>0</v>
      </c>
      <c r="BH7" s="538"/>
      <c r="BI7" s="506"/>
      <c r="BJ7" s="502" t="str">
        <f>IF(KEY!$BA$8&lt;=KEY!$BG$8,AX7,BD7)</f>
        <v>Rs.1500000 &amp;    ABOVE</v>
      </c>
      <c r="BK7" s="503">
        <f>IF(KEY!$BA$8&lt;=KEY!$BG$8,AY7,BE7)</f>
        <v>0.3</v>
      </c>
      <c r="BL7" s="504">
        <f>IF(KEY!$BA$8&lt;=KEY!$BG$8,AZ7,BF7)</f>
        <v>0</v>
      </c>
      <c r="BM7" s="504">
        <f>IF(KEY!$BA$8&lt;=KEY!$BG$8,BA7,BG7)</f>
        <v>0</v>
      </c>
      <c r="BN7" s="538">
        <f>IF(KEY!$BA$8&lt;=KEY!$BG$8,BB7,BH7)</f>
        <v>0</v>
      </c>
      <c r="BO7" s="506"/>
      <c r="BP7" s="16"/>
      <c r="BQ7" s="524" t="s">
        <v>518</v>
      </c>
      <c r="BR7" s="539">
        <f>IFERROR(IF(DATA!E14="",DATE(YEAR(BR22)-60,MONTH(BR22),DAY(BR22)),DATA!E14),DATE(YEAR(BR22)-60,MONTH(BR22),DAY(BR22)))</f>
        <v>30723</v>
      </c>
      <c r="BS7" s="16"/>
      <c r="BT7" s="26"/>
      <c r="BU7" s="16"/>
      <c r="BV7" s="16"/>
      <c r="BW7" s="16"/>
    </row>
    <row r="8" spans="1:75" ht="15.75" hidden="1" customHeight="1">
      <c r="A8" s="40"/>
      <c r="B8" s="497">
        <v>21800</v>
      </c>
      <c r="C8" s="497">
        <f t="shared" ref="C8:D8" si="22">B9</f>
        <v>22460</v>
      </c>
      <c r="D8" s="509">
        <f t="shared" si="22"/>
        <v>23120</v>
      </c>
      <c r="E8" s="223">
        <v>23120</v>
      </c>
      <c r="F8" s="40"/>
      <c r="G8" s="63" t="s">
        <v>519</v>
      </c>
      <c r="H8" s="540">
        <f>DATA!I36</f>
        <v>44927</v>
      </c>
      <c r="I8" s="40"/>
      <c r="J8" s="512">
        <v>45536</v>
      </c>
      <c r="K8" s="497">
        <f t="shared" si="12"/>
        <v>69020</v>
      </c>
      <c r="L8" s="40"/>
      <c r="M8" s="513">
        <f t="shared" si="2"/>
        <v>44713</v>
      </c>
      <c r="N8" s="514" t="str">
        <f t="shared" si="3"/>
        <v/>
      </c>
      <c r="O8" s="515">
        <f t="shared" si="4"/>
        <v>61960</v>
      </c>
      <c r="P8" s="514" t="str">
        <f t="shared" si="5"/>
        <v/>
      </c>
      <c r="Q8" s="515">
        <f t="shared" si="6"/>
        <v>60260</v>
      </c>
      <c r="R8" s="515">
        <f t="shared" si="7"/>
        <v>60260</v>
      </c>
      <c r="S8" s="40"/>
      <c r="T8" s="516">
        <f>DATA!L8</f>
        <v>45505</v>
      </c>
      <c r="U8" s="517">
        <f t="shared" si="8"/>
        <v>0.30030000000000001</v>
      </c>
      <c r="V8" s="517">
        <f t="shared" si="9"/>
        <v>0.3367</v>
      </c>
      <c r="W8" s="517">
        <f t="shared" si="10"/>
        <v>0.3367</v>
      </c>
      <c r="X8" s="518">
        <f>IFERROR(IF(OR(DATA!$D$37="",DATA!$D$37="NO CHANGE"),DATA!$C$37,IF(VALUE(DATA!$D$37)=VALUE(T8),(DATA!$C$37/DAY((EOMONTH(DATA!$D$37,0)))*(DATA!$E$39-1))+(DATA!$E$37/DAY((EOMONTH(DATA!$D$37,0)))*(DAY(EOMONTH(DATA!$D$37,0))-DATA!$E$39+1)),IF(VALUE(DATA!$D$37)&lt;VALUE(T8),DATA!$E$37,DATA!$C$37))),X7)</f>
        <v>0.1</v>
      </c>
      <c r="Y8" s="519">
        <f>IFERROR(IF(OR(DATA!$D$38="",DATA!$D$38="NO CHANGE"),DATA!$C$38,IF(VALUE(DATA!$D$38)=VALUE(T8),(DATA!$C$38/DAY((EOMONTH(DATA!$D$38,0)))*(DATA!$E$40-1))+(DATA!$E$38/DAY((EOMONTH(DATA!$D$38,0)))*(DAY(EOMONTH(DATA!$D$38,0))-DATA!$E$40+1)),IF(VALUE(DATA!$D$38)&lt;VALUE(T8),DATA!$E$38, DATA!$C$38))),Y7)</f>
        <v>0</v>
      </c>
      <c r="Z8" s="40"/>
      <c r="AA8" s="489" t="s">
        <v>157</v>
      </c>
      <c r="AB8" s="541">
        <v>1</v>
      </c>
      <c r="AC8" s="541" t="s">
        <v>520</v>
      </c>
      <c r="AD8" s="542" t="s">
        <v>521</v>
      </c>
      <c r="AE8" s="40"/>
      <c r="AF8" s="1"/>
      <c r="AG8" s="1"/>
      <c r="AH8" s="1"/>
      <c r="AI8" s="40"/>
      <c r="AJ8" s="1"/>
      <c r="AK8" s="4"/>
      <c r="AL8" s="521" t="s">
        <v>522</v>
      </c>
      <c r="AM8" s="40"/>
      <c r="AN8" s="270" t="str">
        <f>'ANNEXURE II'!D28</f>
        <v>SUKANYA SAMRIDHI YOJANA</v>
      </c>
      <c r="AO8" s="522">
        <f>DATA!J5</f>
        <v>0</v>
      </c>
      <c r="AP8" s="4"/>
      <c r="AQ8" s="523">
        <f t="shared" si="14"/>
        <v>0</v>
      </c>
      <c r="AR8" s="523">
        <f t="shared" ref="AR8:AT8" si="23">AQ8</f>
        <v>0</v>
      </c>
      <c r="AS8" s="523">
        <f t="shared" si="23"/>
        <v>0</v>
      </c>
      <c r="AT8" s="523">
        <f t="shared" si="23"/>
        <v>0</v>
      </c>
      <c r="AU8" s="523">
        <f>IF(KEY!$AY$29="NEW",0,AT8)</f>
        <v>0</v>
      </c>
      <c r="AV8" s="40"/>
      <c r="AW8" s="1"/>
      <c r="AX8" s="502" t="s">
        <v>40</v>
      </c>
      <c r="AY8" s="503"/>
      <c r="AZ8" s="543">
        <f t="shared" ref="AZ8:BA8" si="24">SUM(AZ2:AZ7)</f>
        <v>948430</v>
      </c>
      <c r="BA8" s="543">
        <f t="shared" si="24"/>
        <v>102186</v>
      </c>
      <c r="BB8" s="537"/>
      <c r="BC8" s="506"/>
      <c r="BD8" s="502" t="s">
        <v>40</v>
      </c>
      <c r="BE8" s="503"/>
      <c r="BF8" s="543">
        <f t="shared" ref="BF8:BG8" si="25">SUM(BF2:BF7)</f>
        <v>1080840</v>
      </c>
      <c r="BG8" s="543">
        <f t="shared" si="25"/>
        <v>62126</v>
      </c>
      <c r="BH8" s="537"/>
      <c r="BI8" s="506"/>
      <c r="BJ8" s="502"/>
      <c r="BK8" s="503"/>
      <c r="BL8" s="543">
        <f t="shared" ref="BL8:BM8" si="26">SUM(BL2:BL7)</f>
        <v>1080840</v>
      </c>
      <c r="BM8" s="543">
        <f t="shared" si="26"/>
        <v>62126</v>
      </c>
      <c r="BN8" s="537"/>
      <c r="BO8" s="506"/>
      <c r="BP8" s="16"/>
      <c r="BQ8" s="524" t="s">
        <v>153</v>
      </c>
      <c r="BR8" s="544" t="str">
        <f>DATA!I19</f>
        <v>AUTO</v>
      </c>
      <c r="BS8" s="16"/>
      <c r="BT8" s="26"/>
      <c r="BU8" s="16"/>
      <c r="BV8" s="16"/>
      <c r="BW8" s="16"/>
    </row>
    <row r="9" spans="1:75" ht="15.75" hidden="1" customHeight="1">
      <c r="A9" s="40"/>
      <c r="B9" s="497">
        <v>22460</v>
      </c>
      <c r="C9" s="497">
        <f t="shared" ref="C9:D9" si="27">B10</f>
        <v>23120</v>
      </c>
      <c r="D9" s="509">
        <f t="shared" si="27"/>
        <v>23780</v>
      </c>
      <c r="E9" s="223">
        <v>23780</v>
      </c>
      <c r="F9" s="40"/>
      <c r="G9" s="63" t="s">
        <v>523</v>
      </c>
      <c r="H9" s="540">
        <f>DATA!I37</f>
        <v>45292</v>
      </c>
      <c r="I9" s="40"/>
      <c r="J9" s="512">
        <v>45505</v>
      </c>
      <c r="K9" s="497">
        <f t="shared" si="12"/>
        <v>69020</v>
      </c>
      <c r="L9" s="40"/>
      <c r="M9" s="513">
        <f t="shared" si="2"/>
        <v>44743</v>
      </c>
      <c r="N9" s="514" t="str">
        <f t="shared" si="3"/>
        <v/>
      </c>
      <c r="O9" s="515">
        <f t="shared" si="4"/>
        <v>61960</v>
      </c>
      <c r="P9" s="514" t="str">
        <f t="shared" si="5"/>
        <v/>
      </c>
      <c r="Q9" s="515">
        <f t="shared" si="6"/>
        <v>60260</v>
      </c>
      <c r="R9" s="515">
        <f t="shared" si="7"/>
        <v>60260</v>
      </c>
      <c r="S9" s="40"/>
      <c r="T9" s="516">
        <f>DATA!L9</f>
        <v>45536</v>
      </c>
      <c r="U9" s="517">
        <f t="shared" si="8"/>
        <v>0.30030000000000001</v>
      </c>
      <c r="V9" s="517">
        <f t="shared" si="9"/>
        <v>0.3367</v>
      </c>
      <c r="W9" s="517">
        <f t="shared" si="10"/>
        <v>0.3367</v>
      </c>
      <c r="X9" s="518">
        <f>IFERROR(IF(OR(DATA!$D$37="",DATA!$D$37="NO CHANGE"),DATA!$C$37,IF(VALUE(DATA!$D$37)=VALUE(T9),(DATA!$C$37/DAY((EOMONTH(DATA!$D$37,0)))*(DATA!$E$39-1))+(DATA!$E$37/DAY((EOMONTH(DATA!$D$37,0)))*(DAY(EOMONTH(DATA!$D$37,0))-DATA!$E$39+1)),IF(VALUE(DATA!$D$37)&lt;VALUE(T9),DATA!$E$37,DATA!$C$37))),X8)</f>
        <v>0.1</v>
      </c>
      <c r="Y9" s="519">
        <f>IFERROR(IF(OR(DATA!$D$38="",DATA!$D$38="NO CHANGE"),DATA!$C$38,IF(VALUE(DATA!$D$38)=VALUE(T9),(DATA!$C$38/DAY((EOMONTH(DATA!$D$38,0)))*(DATA!$E$40-1))+(DATA!$E$38/DAY((EOMONTH(DATA!$D$38,0)))*(DAY(EOMONTH(DATA!$D$38,0))-DATA!$E$40+1)),IF(VALUE(DATA!$D$38)&lt;VALUE(T9),DATA!$E$38, DATA!$C$38))),Y8)</f>
        <v>0</v>
      </c>
      <c r="Z9" s="40"/>
      <c r="AA9" s="513">
        <f t="shared" ref="AA9:AA14" si="28">INDEX($J$29:$K$40,ROWS(X35:Y$40),1)</f>
        <v>44743</v>
      </c>
      <c r="AB9" s="545">
        <f t="shared" ref="AB9:AB32" si="29">IF($AD$2&lt;M9, 0, ROUND(R9*$AD$5*100%,0) - ROUND(R9*$AD$4*100%,0))</f>
        <v>2193</v>
      </c>
      <c r="AC9" s="545">
        <f t="shared" ref="AC9:AC32" si="30">IF(AB9=0,0,ROUND((R9*$AD$5*10%)-(R9*$AD$4*10%),0))</f>
        <v>219</v>
      </c>
      <c r="AD9" s="545">
        <f t="shared" ref="AD9:AD32" si="31">AB9-AC9</f>
        <v>1974</v>
      </c>
      <c r="AE9" s="40"/>
      <c r="AF9" s="1"/>
      <c r="AG9" s="1"/>
      <c r="AH9" s="1"/>
      <c r="AI9" s="40"/>
      <c r="AJ9" s="1"/>
      <c r="AK9" s="4"/>
      <c r="AL9" s="521" t="s">
        <v>524</v>
      </c>
      <c r="AM9" s="40"/>
      <c r="AN9" s="270" t="str">
        <f>'ANNEXURE II'!D29</f>
        <v>S.B.I. LIFE INSURANCE</v>
      </c>
      <c r="AO9" s="522">
        <f>DATA!J6</f>
        <v>0</v>
      </c>
      <c r="AP9" s="4"/>
      <c r="AQ9" s="523">
        <f t="shared" si="14"/>
        <v>0</v>
      </c>
      <c r="AR9" s="523">
        <f t="shared" ref="AR9:AT9" si="32">AQ9</f>
        <v>0</v>
      </c>
      <c r="AS9" s="523">
        <f t="shared" si="32"/>
        <v>0</v>
      </c>
      <c r="AT9" s="523">
        <f t="shared" si="32"/>
        <v>0</v>
      </c>
      <c r="AU9" s="523">
        <f>IF(KEY!$AY$29="NEW",0,AT9)</f>
        <v>0</v>
      </c>
      <c r="AV9" s="40"/>
      <c r="AW9" s="1"/>
      <c r="AX9" s="506"/>
      <c r="AY9" s="506"/>
      <c r="AZ9" s="506"/>
      <c r="BA9" s="506"/>
      <c r="BB9" s="506"/>
      <c r="BC9" s="506"/>
      <c r="BD9" s="546"/>
      <c r="BE9" s="506"/>
      <c r="BF9" s="506"/>
      <c r="BG9" s="506"/>
      <c r="BH9" s="506"/>
      <c r="BI9" s="506"/>
      <c r="BJ9" s="546"/>
      <c r="BK9" s="506"/>
      <c r="BL9" s="506"/>
      <c r="BM9" s="506"/>
      <c r="BN9" s="506"/>
      <c r="BO9" s="506"/>
      <c r="BP9" s="16"/>
      <c r="BQ9" s="16"/>
      <c r="BR9" s="16"/>
      <c r="BS9" s="16"/>
      <c r="BT9" s="26"/>
      <c r="BU9" s="16"/>
      <c r="BV9" s="16"/>
      <c r="BW9" s="16"/>
    </row>
    <row r="10" spans="1:75" ht="15.75" hidden="1" customHeight="1">
      <c r="A10" s="40"/>
      <c r="B10" s="497">
        <v>23120</v>
      </c>
      <c r="C10" s="497">
        <f t="shared" ref="C10:D10" si="33">B11</f>
        <v>23780</v>
      </c>
      <c r="D10" s="509">
        <f t="shared" si="33"/>
        <v>24500</v>
      </c>
      <c r="E10" s="223">
        <v>24500</v>
      </c>
      <c r="F10" s="40"/>
      <c r="G10" s="63" t="s">
        <v>525</v>
      </c>
      <c r="H10" s="540">
        <f>DATA!D8</f>
        <v>45658</v>
      </c>
      <c r="I10" s="40"/>
      <c r="J10" s="512">
        <v>45474</v>
      </c>
      <c r="K10" s="497">
        <f t="shared" si="12"/>
        <v>69020</v>
      </c>
      <c r="L10" s="40"/>
      <c r="M10" s="513">
        <f t="shared" si="2"/>
        <v>44774</v>
      </c>
      <c r="N10" s="514" t="str">
        <f t="shared" si="3"/>
        <v/>
      </c>
      <c r="O10" s="515">
        <f t="shared" si="4"/>
        <v>61960</v>
      </c>
      <c r="P10" s="514" t="str">
        <f t="shared" si="5"/>
        <v/>
      </c>
      <c r="Q10" s="515">
        <f t="shared" si="6"/>
        <v>60260</v>
      </c>
      <c r="R10" s="515">
        <f t="shared" si="7"/>
        <v>60260</v>
      </c>
      <c r="S10" s="40"/>
      <c r="T10" s="516">
        <f>DATA!L10</f>
        <v>45566</v>
      </c>
      <c r="U10" s="517">
        <f t="shared" si="8"/>
        <v>0.30030000000000001</v>
      </c>
      <c r="V10" s="517">
        <f t="shared" si="9"/>
        <v>0.3367</v>
      </c>
      <c r="W10" s="517">
        <f t="shared" si="10"/>
        <v>0.3367</v>
      </c>
      <c r="X10" s="518">
        <f>IFERROR(IF(OR(DATA!$D$37="",DATA!$D$37="NO CHANGE"),DATA!$C$37,IF(VALUE(DATA!$D$37)=VALUE(T10),(DATA!$C$37/DAY((EOMONTH(DATA!$D$37,0)))*(DATA!$E$39-1))+(DATA!$E$37/DAY((EOMONTH(DATA!$D$37,0)))*(DAY(EOMONTH(DATA!$D$37,0))-DATA!$E$39+1)),IF(VALUE(DATA!$D$37)&lt;VALUE(T10),DATA!$E$37,DATA!$C$37))),X9)</f>
        <v>0.1</v>
      </c>
      <c r="Y10" s="519">
        <f>IFERROR(IF(OR(DATA!$D$38="",DATA!$D$38="NO CHANGE"),DATA!$C$38,IF(VALUE(DATA!$D$38)=VALUE(T10),(DATA!$C$38/DAY((EOMONTH(DATA!$D$38,0)))*(DATA!$E$40-1))+(DATA!$E$38/DAY((EOMONTH(DATA!$D$38,0)))*(DAY(EOMONTH(DATA!$D$38,0))-DATA!$E$40+1)),IF(VALUE(DATA!$D$38)&lt;VALUE(T10),DATA!$E$38, DATA!$C$38))),Y9)</f>
        <v>0</v>
      </c>
      <c r="Z10" s="40"/>
      <c r="AA10" s="513">
        <f t="shared" si="28"/>
        <v>44774</v>
      </c>
      <c r="AB10" s="545">
        <f t="shared" si="29"/>
        <v>2193</v>
      </c>
      <c r="AC10" s="545">
        <f t="shared" si="30"/>
        <v>219</v>
      </c>
      <c r="AD10" s="545">
        <f t="shared" si="31"/>
        <v>1974</v>
      </c>
      <c r="AE10" s="40"/>
      <c r="AF10" s="1"/>
      <c r="AG10" s="1"/>
      <c r="AH10" s="1"/>
      <c r="AI10" s="40"/>
      <c r="AJ10" s="1"/>
      <c r="AK10" s="4"/>
      <c r="AL10" s="521" t="s">
        <v>526</v>
      </c>
      <c r="AM10" s="40"/>
      <c r="AN10" s="270" t="str">
        <f>'ANNEXURE II'!D30</f>
        <v>PUBLIC PROVIDENT FUND</v>
      </c>
      <c r="AO10" s="522">
        <f>DATA!J7</f>
        <v>0</v>
      </c>
      <c r="AP10" s="4"/>
      <c r="AQ10" s="523">
        <f t="shared" si="14"/>
        <v>0</v>
      </c>
      <c r="AR10" s="523">
        <f t="shared" ref="AR10:AT10" si="34">AQ10</f>
        <v>0</v>
      </c>
      <c r="AS10" s="523">
        <f t="shared" si="34"/>
        <v>0</v>
      </c>
      <c r="AT10" s="523">
        <f t="shared" si="34"/>
        <v>0</v>
      </c>
      <c r="AU10" s="523">
        <f>IF(KEY!$AY$29="NEW",0,AT10)</f>
        <v>0</v>
      </c>
      <c r="AV10" s="40"/>
      <c r="AW10" s="1"/>
      <c r="AX10" s="1018" t="s">
        <v>467</v>
      </c>
      <c r="AY10" s="742"/>
      <c r="AZ10" s="1015" t="s">
        <v>527</v>
      </c>
      <c r="BA10" s="742"/>
      <c r="BB10" s="483" t="s">
        <v>469</v>
      </c>
      <c r="BC10" s="506"/>
      <c r="BD10" s="1016" t="s">
        <v>470</v>
      </c>
      <c r="BE10" s="742"/>
      <c r="BF10" s="1015" t="str">
        <f>AZ10</f>
        <v>AGE &gt;60 &amp; &lt;=80</v>
      </c>
      <c r="BG10" s="742"/>
      <c r="BH10" s="485" t="s">
        <v>469</v>
      </c>
      <c r="BI10" s="506"/>
      <c r="BJ10" s="1016" t="s">
        <v>471</v>
      </c>
      <c r="BK10" s="742"/>
      <c r="BL10" s="1015" t="str">
        <f>BF10</f>
        <v>AGE &gt;60 &amp; &lt;=80</v>
      </c>
      <c r="BM10" s="742"/>
      <c r="BN10" s="485" t="s">
        <v>469</v>
      </c>
      <c r="BO10" s="506"/>
      <c r="BP10" s="16"/>
      <c r="BQ10" s="547" t="s">
        <v>528</v>
      </c>
      <c r="BR10" s="548">
        <f>ROUND(BR4-BR5,-1)-AT35</f>
        <v>1080840</v>
      </c>
      <c r="BS10" s="16"/>
      <c r="BT10" s="26"/>
      <c r="BU10" s="16"/>
      <c r="BV10" s="16"/>
      <c r="BW10" s="16"/>
    </row>
    <row r="11" spans="1:75" ht="15.75" hidden="1" customHeight="1">
      <c r="A11" s="40"/>
      <c r="B11" s="497">
        <v>23780</v>
      </c>
      <c r="C11" s="497">
        <f t="shared" ref="C11:D11" si="35">B12</f>
        <v>24500</v>
      </c>
      <c r="D11" s="509">
        <f t="shared" si="35"/>
        <v>25220</v>
      </c>
      <c r="E11" s="223">
        <v>25220</v>
      </c>
      <c r="F11" s="40"/>
      <c r="G11" s="63" t="s">
        <v>474</v>
      </c>
      <c r="H11" s="540">
        <f>IF(DATA!D9="N.A.",M42,IF(DATA!D9="",M42,DATE(YEAR(DATA!D9),MONTH(DATA!D9)+1,DAY(DATA!D9))))</f>
        <v>45689</v>
      </c>
      <c r="I11" s="40"/>
      <c r="J11" s="512">
        <v>45444</v>
      </c>
      <c r="K11" s="497">
        <f t="shared" si="12"/>
        <v>69020</v>
      </c>
      <c r="L11" s="40"/>
      <c r="M11" s="513">
        <f t="shared" si="2"/>
        <v>44805</v>
      </c>
      <c r="N11" s="514" t="str">
        <f t="shared" si="3"/>
        <v/>
      </c>
      <c r="O11" s="515">
        <f t="shared" si="4"/>
        <v>61960</v>
      </c>
      <c r="P11" s="514" t="str">
        <f t="shared" si="5"/>
        <v/>
      </c>
      <c r="Q11" s="515">
        <f t="shared" si="6"/>
        <v>60260</v>
      </c>
      <c r="R11" s="515">
        <f t="shared" si="7"/>
        <v>60260</v>
      </c>
      <c r="S11" s="40"/>
      <c r="T11" s="516">
        <f>DATA!L11</f>
        <v>45597</v>
      </c>
      <c r="U11" s="517">
        <f t="shared" si="8"/>
        <v>0.30030000000000001</v>
      </c>
      <c r="V11" s="517">
        <f t="shared" si="9"/>
        <v>0.3367</v>
      </c>
      <c r="W11" s="517">
        <f t="shared" si="10"/>
        <v>0.3367</v>
      </c>
      <c r="X11" s="518">
        <f>IFERROR(IF(OR(DATA!$D$37="",DATA!$D$37="NO CHANGE"),DATA!$C$37,IF(VALUE(DATA!$D$37)=VALUE(T11),(DATA!$C$37/DAY((EOMONTH(DATA!$D$37,0)))*(DATA!$E$39-1))+(DATA!$E$37/DAY((EOMONTH(DATA!$D$37,0)))*(DAY(EOMONTH(DATA!$D$37,0))-DATA!$E$39+1)),IF(VALUE(DATA!$D$37)&lt;VALUE(T11),DATA!$E$37,DATA!$C$37))),X10)</f>
        <v>0.1</v>
      </c>
      <c r="Y11" s="519">
        <f>IFERROR(IF(OR(DATA!$D$38="",DATA!$D$38="NO CHANGE"),DATA!$C$38,IF(VALUE(DATA!$D$38)=VALUE(T11),(DATA!$C$38/DAY((EOMONTH(DATA!$D$38,0)))*(DATA!$E$40-1))+(DATA!$E$38/DAY((EOMONTH(DATA!$D$38,0)))*(DAY(EOMONTH(DATA!$D$38,0))-DATA!$E$40+1)),IF(VALUE(DATA!$D$38)&lt;VALUE(T11),DATA!$E$38, DATA!$C$38))),Y10)</f>
        <v>0</v>
      </c>
      <c r="Z11" s="40"/>
      <c r="AA11" s="513">
        <f t="shared" si="28"/>
        <v>44805</v>
      </c>
      <c r="AB11" s="545">
        <f t="shared" si="29"/>
        <v>2193</v>
      </c>
      <c r="AC11" s="545">
        <f t="shared" si="30"/>
        <v>219</v>
      </c>
      <c r="AD11" s="545">
        <f t="shared" si="31"/>
        <v>1974</v>
      </c>
      <c r="AE11" s="40"/>
      <c r="AF11" s="492"/>
      <c r="AG11" s="492"/>
      <c r="AH11" s="1"/>
      <c r="AI11" s="40"/>
      <c r="AJ11" s="1"/>
      <c r="AK11" s="4"/>
      <c r="AL11" s="521" t="s">
        <v>529</v>
      </c>
      <c r="AM11" s="40"/>
      <c r="AN11" s="270" t="str">
        <f>'ANNEXURE II'!D31</f>
        <v>TUTION FEE FOR CHILDREN</v>
      </c>
      <c r="AO11" s="522">
        <f>DATA!J8</f>
        <v>0</v>
      </c>
      <c r="AP11" s="4"/>
      <c r="AQ11" s="523">
        <f t="shared" si="14"/>
        <v>0</v>
      </c>
      <c r="AR11" s="523">
        <f t="shared" ref="AR11:AT11" si="36">AQ11</f>
        <v>0</v>
      </c>
      <c r="AS11" s="523">
        <f t="shared" si="36"/>
        <v>0</v>
      </c>
      <c r="AT11" s="523">
        <f t="shared" si="36"/>
        <v>0</v>
      </c>
      <c r="AU11" s="523">
        <f>IF(KEY!$AY$29="NEW",0,AT11)</f>
        <v>0</v>
      </c>
      <c r="AV11" s="40"/>
      <c r="AW11" s="1"/>
      <c r="AX11" s="502" t="s">
        <v>496</v>
      </c>
      <c r="AY11" s="503">
        <v>0</v>
      </c>
      <c r="AZ11" s="504">
        <v>300000</v>
      </c>
      <c r="BA11" s="504">
        <f t="shared" ref="BA11:BA14" si="37">ROUND(AZ11*AY11,0)</f>
        <v>0</v>
      </c>
      <c r="BB11" s="505">
        <f>IF(AND(KEY!$BR$11&gt;=5000000,KEY!$BR$11&lt;=10000000),5000000,IF(AND(KEY!$BR$11&gt;10000000,KEY!$BR$11&lt;=20000000),10000000,IF(AND(KEY!$BR$11&gt;20000000,KEY!$BR$11&lt;=50000000),20000000,IF(AND(KEY!$BR$11&gt;50000000),50000000,0))))</f>
        <v>0</v>
      </c>
      <c r="BC11" s="506"/>
      <c r="BD11" s="502" t="str">
        <f t="shared" ref="BD11:BH11" si="38">BD2</f>
        <v>Rs.  000000 - Rs.  300000</v>
      </c>
      <c r="BE11" s="503">
        <f t="shared" si="38"/>
        <v>0</v>
      </c>
      <c r="BF11" s="504">
        <f t="shared" si="38"/>
        <v>300000</v>
      </c>
      <c r="BG11" s="504">
        <f t="shared" si="38"/>
        <v>0</v>
      </c>
      <c r="BH11" s="505">
        <f t="shared" si="38"/>
        <v>0</v>
      </c>
      <c r="BI11" s="506"/>
      <c r="BJ11" s="502" t="str">
        <f>IF(KEY!$BA$8&lt;=KEY!$BG$8,AX11,BD11)</f>
        <v>Rs.  000000 - Rs.  300000</v>
      </c>
      <c r="BK11" s="503">
        <f>IF(KEY!$BA$8&lt;=KEY!$BG$8,AY11,BE11)</f>
        <v>0</v>
      </c>
      <c r="BL11" s="504">
        <f>IF(KEY!$BA$8&lt;=KEY!$BG$8,AZ11,BF11)</f>
        <v>300000</v>
      </c>
      <c r="BM11" s="504">
        <f>IF(KEY!$BA$8&lt;=KEY!$BG$8,BA11,BG11)</f>
        <v>0</v>
      </c>
      <c r="BN11" s="505">
        <f>IF(KEY!$BA$8&lt;=KEY!$BG$8,BB11,BH11)</f>
        <v>0</v>
      </c>
      <c r="BO11" s="506"/>
      <c r="BP11" s="16"/>
      <c r="BQ11" s="547" t="s">
        <v>530</v>
      </c>
      <c r="BR11" s="549">
        <f>ROUND(MAX(0,BR4-BR5-BR6),-1)</f>
        <v>948430</v>
      </c>
      <c r="BS11" s="16"/>
      <c r="BT11" s="26"/>
      <c r="BU11" s="16"/>
      <c r="BV11" s="16"/>
      <c r="BW11" s="16"/>
    </row>
    <row r="12" spans="1:75" ht="15.75" hidden="1" customHeight="1">
      <c r="A12" s="40"/>
      <c r="B12" s="497">
        <v>24500</v>
      </c>
      <c r="C12" s="497">
        <f t="shared" ref="C12:D12" si="39">B13</f>
        <v>25220</v>
      </c>
      <c r="D12" s="509">
        <f t="shared" si="39"/>
        <v>25940</v>
      </c>
      <c r="E12" s="223">
        <v>25940</v>
      </c>
      <c r="F12" s="40"/>
      <c r="G12" s="550">
        <f>G3</f>
        <v>45352</v>
      </c>
      <c r="H12" s="499">
        <f>IF(DATA!D3="",C7,DATA!D3)</f>
        <v>70850</v>
      </c>
      <c r="I12" s="40"/>
      <c r="J12" s="512">
        <v>45413</v>
      </c>
      <c r="K12" s="497">
        <f t="shared" si="12"/>
        <v>69020</v>
      </c>
      <c r="L12" s="40"/>
      <c r="M12" s="513">
        <f t="shared" si="2"/>
        <v>44835</v>
      </c>
      <c r="N12" s="514" t="str">
        <f t="shared" si="3"/>
        <v/>
      </c>
      <c r="O12" s="515">
        <f t="shared" si="4"/>
        <v>61960</v>
      </c>
      <c r="P12" s="514" t="str">
        <f t="shared" si="5"/>
        <v/>
      </c>
      <c r="Q12" s="515">
        <f t="shared" si="6"/>
        <v>60260</v>
      </c>
      <c r="R12" s="515">
        <f t="shared" si="7"/>
        <v>60260</v>
      </c>
      <c r="S12" s="40"/>
      <c r="T12" s="516">
        <f>DATA!L12</f>
        <v>45627</v>
      </c>
      <c r="U12" s="517">
        <f t="shared" si="8"/>
        <v>0.30030000000000001</v>
      </c>
      <c r="V12" s="517">
        <f t="shared" si="9"/>
        <v>0.3367</v>
      </c>
      <c r="W12" s="517">
        <f t="shared" si="10"/>
        <v>0.3367</v>
      </c>
      <c r="X12" s="518">
        <f>IFERROR(IF(OR(DATA!$D$37="",DATA!$D$37="NO CHANGE"),DATA!$C$37,IF(VALUE(DATA!$D$37)=VALUE(T12),(DATA!$C$37/DAY((EOMONTH(DATA!$D$37,0)))*(DATA!$E$39-1))+(DATA!$E$37/DAY((EOMONTH(DATA!$D$37,0)))*(DAY(EOMONTH(DATA!$D$37,0))-DATA!$E$39+1)),IF(VALUE(DATA!$D$37)&lt;VALUE(T12),DATA!$E$37,DATA!$C$37))),X11)</f>
        <v>0.1</v>
      </c>
      <c r="Y12" s="519">
        <f>IFERROR(IF(OR(DATA!$D$38="",DATA!$D$38="NO CHANGE"),DATA!$C$38,IF(VALUE(DATA!$D$38)=VALUE(T12),(DATA!$C$38/DAY((EOMONTH(DATA!$D$38,0)))*(DATA!$E$40-1))+(DATA!$E$38/DAY((EOMONTH(DATA!$D$38,0)))*(DAY(EOMONTH(DATA!$D$38,0))-DATA!$E$40+1)),IF(VALUE(DATA!$D$38)&lt;VALUE(T12),DATA!$E$38, DATA!$C$38))),Y11)</f>
        <v>0</v>
      </c>
      <c r="Z12" s="40"/>
      <c r="AA12" s="513">
        <f t="shared" si="28"/>
        <v>44835</v>
      </c>
      <c r="AB12" s="545">
        <f t="shared" si="29"/>
        <v>2193</v>
      </c>
      <c r="AC12" s="545">
        <f t="shared" si="30"/>
        <v>219</v>
      </c>
      <c r="AD12" s="545">
        <f t="shared" si="31"/>
        <v>1974</v>
      </c>
      <c r="AE12" s="40"/>
      <c r="AF12" s="551"/>
      <c r="AG12" s="492"/>
      <c r="AH12" s="552"/>
      <c r="AI12" s="40"/>
      <c r="AJ12" s="1"/>
      <c r="AK12" s="4"/>
      <c r="AL12" s="521" t="s">
        <v>531</v>
      </c>
      <c r="AM12" s="40"/>
      <c r="AN12" s="270" t="str">
        <f>'ANNEXURE II'!D32</f>
        <v>HOME LOAN PRINCIPLE AMOUNT</v>
      </c>
      <c r="AO12" s="522">
        <f>DATA!J9</f>
        <v>0</v>
      </c>
      <c r="AP12" s="4"/>
      <c r="AQ12" s="523">
        <f t="shared" si="14"/>
        <v>0</v>
      </c>
      <c r="AR12" s="523">
        <f t="shared" ref="AR12:AT12" si="40">AQ12</f>
        <v>0</v>
      </c>
      <c r="AS12" s="523">
        <f t="shared" si="40"/>
        <v>0</v>
      </c>
      <c r="AT12" s="523">
        <f t="shared" si="40"/>
        <v>0</v>
      </c>
      <c r="AU12" s="523">
        <f>IF(KEY!$AY$29="NEW",0,AT12)</f>
        <v>0</v>
      </c>
      <c r="AV12" s="40"/>
      <c r="AW12" s="1"/>
      <c r="AX12" s="502" t="s">
        <v>532</v>
      </c>
      <c r="AY12" s="503">
        <v>0.05</v>
      </c>
      <c r="AZ12" s="504">
        <f>MIN(MAX(KEY!$BR$11-AZ11,0),200000)</f>
        <v>200000</v>
      </c>
      <c r="BA12" s="504">
        <f t="shared" si="37"/>
        <v>10000</v>
      </c>
      <c r="BB12" s="505">
        <f>MAX(0,IF(AND(BB11&lt;=300000),0,  IF(AND(BB11&gt;300000,AND(BB11&lt;=500000)),ROUND((BB11-250000)*5%,0),  IF(AND(BB11&gt;500000,AND(BB11&lt;=1000000)),ROUND(10000+(BB11-500000)*20%,0),  IF(AND(BB11&gt;1000000),ROUND(110000+(BB11-1000000)*30%,0),0)))))</f>
        <v>0</v>
      </c>
      <c r="BC12" s="506"/>
      <c r="BD12" s="502" t="str">
        <f t="shared" ref="BD12:BH12" si="41">BD3</f>
        <v>Rs.  300001 - Rs.  700000</v>
      </c>
      <c r="BE12" s="503">
        <f t="shared" si="41"/>
        <v>0.05</v>
      </c>
      <c r="BF12" s="504">
        <f t="shared" si="41"/>
        <v>400000</v>
      </c>
      <c r="BG12" s="504">
        <f t="shared" si="41"/>
        <v>20000</v>
      </c>
      <c r="BH12" s="505">
        <f t="shared" si="41"/>
        <v>0</v>
      </c>
      <c r="BI12" s="506"/>
      <c r="BJ12" s="502" t="str">
        <f>IF(KEY!$BA$8&lt;=KEY!$BG$8,AX12,BD12)</f>
        <v>Rs.  300001 - Rs.  700000</v>
      </c>
      <c r="BK12" s="503">
        <f>IF(KEY!$BA$8&lt;=KEY!$BG$8,AY12,BE12)</f>
        <v>0.05</v>
      </c>
      <c r="BL12" s="504">
        <f>IF(KEY!$BA$8&lt;=KEY!$BG$8,AZ12,BF12)</f>
        <v>400000</v>
      </c>
      <c r="BM12" s="504">
        <f>IF(KEY!$BA$8&lt;=KEY!$BG$8,BA12,BG12)</f>
        <v>20000</v>
      </c>
      <c r="BN12" s="505">
        <f>IF(KEY!$BA$8&lt;=KEY!$BG$8,BB12,BH12)</f>
        <v>0</v>
      </c>
      <c r="BO12" s="506"/>
      <c r="BP12" s="16"/>
      <c r="BQ12" s="16"/>
      <c r="BR12" s="16"/>
      <c r="BS12" s="16"/>
      <c r="BT12" s="26"/>
      <c r="BU12" s="16"/>
      <c r="BV12" s="16"/>
      <c r="BW12" s="16"/>
    </row>
    <row r="13" spans="1:75" ht="15.75" hidden="1" customHeight="1">
      <c r="A13" s="40"/>
      <c r="B13" s="497">
        <v>25220</v>
      </c>
      <c r="C13" s="497">
        <f t="shared" ref="C13:D13" si="42">B14</f>
        <v>25940</v>
      </c>
      <c r="D13" s="509">
        <f t="shared" si="42"/>
        <v>26720</v>
      </c>
      <c r="E13" s="223">
        <v>26720</v>
      </c>
      <c r="F13" s="40"/>
      <c r="G13" s="1"/>
      <c r="H13" s="1"/>
      <c r="I13" s="40"/>
      <c r="J13" s="512">
        <v>45383</v>
      </c>
      <c r="K13" s="497">
        <f t="shared" si="12"/>
        <v>69020</v>
      </c>
      <c r="L13" s="40"/>
      <c r="M13" s="513">
        <f t="shared" si="2"/>
        <v>44866</v>
      </c>
      <c r="N13" s="514" t="str">
        <f t="shared" si="3"/>
        <v/>
      </c>
      <c r="O13" s="515">
        <f t="shared" si="4"/>
        <v>61960</v>
      </c>
      <c r="P13" s="514" t="str">
        <f t="shared" si="5"/>
        <v/>
      </c>
      <c r="Q13" s="515">
        <f t="shared" si="6"/>
        <v>60260</v>
      </c>
      <c r="R13" s="515">
        <f t="shared" si="7"/>
        <v>60260</v>
      </c>
      <c r="S13" s="40"/>
      <c r="T13" s="516">
        <f>DATA!L13</f>
        <v>45658</v>
      </c>
      <c r="U13" s="517">
        <f t="shared" si="8"/>
        <v>0.30030000000000001</v>
      </c>
      <c r="V13" s="517">
        <f t="shared" si="9"/>
        <v>0.3367</v>
      </c>
      <c r="W13" s="517">
        <f t="shared" ref="W13:W14" si="43">IF(V13&lt;U13,V13,MAX(U13,V13))</f>
        <v>0.3367</v>
      </c>
      <c r="X13" s="518">
        <f>IFERROR(IF(OR(DATA!$D$37="",DATA!$D$37="NO CHANGE"),DATA!$C$37,IF(VALUE(DATA!$D$37)=VALUE(T13),(DATA!$C$37/DAY((EOMONTH(DATA!$D$37,0)))*(DATA!$E$39-1))+(DATA!$E$37/DAY((EOMONTH(DATA!$D$37,0)))*(DAY(EOMONTH(DATA!$D$37,0))-DATA!$E$39+1)),IF(VALUE(DATA!$D$37)&lt;VALUE(T13),DATA!$E$37,DATA!$C$37))),X12)</f>
        <v>0.1</v>
      </c>
      <c r="Y13" s="519">
        <f>IFERROR(IF(OR(DATA!$D$38="",DATA!$D$38="NO CHANGE"),DATA!$C$38,IF(VALUE(DATA!$D$38)=VALUE(T13),(DATA!$C$38/DAY((EOMONTH(DATA!$D$38,0)))*(DATA!$E$40-1))+(DATA!$E$38/DAY((EOMONTH(DATA!$D$38,0)))*(DAY(EOMONTH(DATA!$D$38,0))-DATA!$E$40+1)),IF(VALUE(DATA!$D$38)&lt;VALUE(T13),DATA!$E$38, DATA!$C$38))),Y12)</f>
        <v>0</v>
      </c>
      <c r="Z13" s="40"/>
      <c r="AA13" s="513">
        <f t="shared" si="28"/>
        <v>44866</v>
      </c>
      <c r="AB13" s="545">
        <f t="shared" si="29"/>
        <v>2193</v>
      </c>
      <c r="AC13" s="545">
        <f t="shared" si="30"/>
        <v>219</v>
      </c>
      <c r="AD13" s="545">
        <f t="shared" si="31"/>
        <v>1974</v>
      </c>
      <c r="AE13" s="40"/>
      <c r="AF13" s="1023" t="s">
        <v>533</v>
      </c>
      <c r="AG13" s="665"/>
      <c r="AH13" s="666"/>
      <c r="AI13" s="40"/>
      <c r="AJ13" s="1"/>
      <c r="AK13" s="4"/>
      <c r="AL13" s="521" t="s">
        <v>534</v>
      </c>
      <c r="AM13" s="40"/>
      <c r="AN13" s="270" t="str">
        <f>'ANNEXURE II'!D33</f>
        <v xml:space="preserve">STAMP DUTY &amp; REGISTRATION </v>
      </c>
      <c r="AO13" s="522">
        <f>DATA!J10</f>
        <v>0</v>
      </c>
      <c r="AP13" s="4"/>
      <c r="AQ13" s="523">
        <f t="shared" si="14"/>
        <v>0</v>
      </c>
      <c r="AR13" s="523">
        <f t="shared" ref="AR13:AT13" si="44">AQ13</f>
        <v>0</v>
      </c>
      <c r="AS13" s="523">
        <f t="shared" si="44"/>
        <v>0</v>
      </c>
      <c r="AT13" s="523">
        <f t="shared" si="44"/>
        <v>0</v>
      </c>
      <c r="AU13" s="523">
        <f>IF(KEY!$AY$29="NEW",0,AT13)</f>
        <v>0</v>
      </c>
      <c r="AV13" s="40"/>
      <c r="AW13" s="1"/>
      <c r="AX13" s="502" t="s">
        <v>505</v>
      </c>
      <c r="AY13" s="503">
        <v>0.2</v>
      </c>
      <c r="AZ13" s="504">
        <f>MIN(MAX(KEY!$BR$11-(AZ11+AZ12),0),500000)</f>
        <v>448430</v>
      </c>
      <c r="BA13" s="504">
        <f t="shared" si="37"/>
        <v>89686</v>
      </c>
      <c r="BB13" s="505">
        <f>IF(AND(BB11&gt;5000000,BB11&lt;=10000000),ROUND(BB12*10%,0),IF(AND(BB11&gt;10000000,BB11&lt;=20000000),ROUND(BB12*15%,0),IF(AND(BB11&gt;20000000,BB11&lt;=50000000),ROUND(BB12*25%,0),IF(AND(BB11&gt;5000000),ROUND(BB12*37%,0),0))))</f>
        <v>0</v>
      </c>
      <c r="BC13" s="506"/>
      <c r="BD13" s="502" t="str">
        <f t="shared" ref="BD13:BH13" si="45">BD4</f>
        <v>Rs.  700001 - Rs. 1000000</v>
      </c>
      <c r="BE13" s="503">
        <f t="shared" si="45"/>
        <v>0.1</v>
      </c>
      <c r="BF13" s="504">
        <f t="shared" si="45"/>
        <v>300000</v>
      </c>
      <c r="BG13" s="504">
        <f t="shared" si="45"/>
        <v>30000</v>
      </c>
      <c r="BH13" s="505">
        <f t="shared" si="45"/>
        <v>0</v>
      </c>
      <c r="BI13" s="506"/>
      <c r="BJ13" s="502" t="str">
        <f>IF(KEY!$BA$8&lt;=KEY!$BG$8,AX13,BD13)</f>
        <v>Rs.  700001 - Rs. 1000000</v>
      </c>
      <c r="BK13" s="503">
        <f>IF(KEY!$BA$8&lt;=KEY!$BG$8,AY13,BE13)</f>
        <v>0.1</v>
      </c>
      <c r="BL13" s="504">
        <f>IF(KEY!$BA$8&lt;=KEY!$BG$8,AZ13,BF13)</f>
        <v>300000</v>
      </c>
      <c r="BM13" s="504">
        <f>IF(KEY!$BA$8&lt;=KEY!$BG$8,BA13,BG13)</f>
        <v>30000</v>
      </c>
      <c r="BN13" s="505">
        <f>IF(KEY!$BA$8&lt;=KEY!$BG$8,BB13,BH13)</f>
        <v>0</v>
      </c>
      <c r="BO13" s="506"/>
      <c r="BP13" s="16"/>
      <c r="BQ13" s="16"/>
      <c r="BR13" s="16"/>
      <c r="BS13" s="16"/>
      <c r="BT13" s="26"/>
      <c r="BU13" s="16"/>
      <c r="BV13" s="16"/>
      <c r="BW13" s="16"/>
    </row>
    <row r="14" spans="1:75" ht="15.75" hidden="1" customHeight="1">
      <c r="A14" s="40"/>
      <c r="B14" s="497">
        <v>25940</v>
      </c>
      <c r="C14" s="497">
        <f t="shared" ref="C14:D14" si="46">B15</f>
        <v>26720</v>
      </c>
      <c r="D14" s="509">
        <f t="shared" si="46"/>
        <v>27500</v>
      </c>
      <c r="E14" s="223">
        <v>27500</v>
      </c>
      <c r="F14" s="40"/>
      <c r="G14" s="1"/>
      <c r="H14" s="1"/>
      <c r="I14" s="40"/>
      <c r="J14" s="512">
        <v>45352</v>
      </c>
      <c r="K14" s="497">
        <f t="shared" si="12"/>
        <v>69020</v>
      </c>
      <c r="L14" s="40"/>
      <c r="M14" s="513">
        <f t="shared" si="2"/>
        <v>44896</v>
      </c>
      <c r="N14" s="514" t="str">
        <f t="shared" si="3"/>
        <v/>
      </c>
      <c r="O14" s="515">
        <f t="shared" si="4"/>
        <v>63660</v>
      </c>
      <c r="P14" s="514" t="str">
        <f t="shared" si="5"/>
        <v/>
      </c>
      <c r="Q14" s="515">
        <f t="shared" si="6"/>
        <v>61960</v>
      </c>
      <c r="R14" s="515">
        <f t="shared" si="7"/>
        <v>61960</v>
      </c>
      <c r="S14" s="40"/>
      <c r="T14" s="516">
        <f>DATA!L14</f>
        <v>45689</v>
      </c>
      <c r="U14" s="517">
        <f t="shared" si="8"/>
        <v>0.30030000000000001</v>
      </c>
      <c r="V14" s="517">
        <f t="shared" si="9"/>
        <v>0.3367</v>
      </c>
      <c r="W14" s="517">
        <f t="shared" si="43"/>
        <v>0.3367</v>
      </c>
      <c r="X14" s="518">
        <f>IFERROR(IF(OR(DATA!$D$37="",DATA!$D$37="NO CHANGE"),DATA!$C$37,IF(VALUE(DATA!$D$37)=VALUE(T14),(DATA!$C$37/DAY((EOMONTH(DATA!$D$37,0)))*(DATA!$E$39-1))+(DATA!$E$37/DAY((EOMONTH(DATA!$D$37,0)))*(DAY(EOMONTH(DATA!$D$37,0))-DATA!$E$39+1)),IF(VALUE(DATA!$D$37)&lt;VALUE(T14),DATA!$E$37,DATA!$C$37))),X13)</f>
        <v>0.1</v>
      </c>
      <c r="Y14" s="519">
        <f>IFERROR(IF(OR(DATA!$D$38="",DATA!$D$38="NO CHANGE"),DATA!$C$38,IF(VALUE(DATA!$D$38)=VALUE(T14),(DATA!$C$38/DAY((EOMONTH(DATA!$D$38,0)))*(DATA!$E$40-1))+(DATA!$E$38/DAY((EOMONTH(DATA!$D$38,0)))*(DAY(EOMONTH(DATA!$D$38,0))-DATA!$E$40+1)),IF(VALUE(DATA!$D$38)&lt;VALUE(T14),DATA!$E$38, DATA!$C$38))),Y13)</f>
        <v>0</v>
      </c>
      <c r="Z14" s="40"/>
      <c r="AA14" s="513">
        <f t="shared" si="28"/>
        <v>44896</v>
      </c>
      <c r="AB14" s="545">
        <f t="shared" si="29"/>
        <v>2256</v>
      </c>
      <c r="AC14" s="545">
        <f t="shared" si="30"/>
        <v>226</v>
      </c>
      <c r="AD14" s="545">
        <f t="shared" si="31"/>
        <v>2030</v>
      </c>
      <c r="AE14" s="40"/>
      <c r="AF14" s="541">
        <v>1</v>
      </c>
      <c r="AG14" s="541" t="s">
        <v>520</v>
      </c>
      <c r="AH14" s="542" t="s">
        <v>521</v>
      </c>
      <c r="AI14" s="40"/>
      <c r="AJ14" s="1"/>
      <c r="AK14" s="4"/>
      <c r="AL14" s="521" t="s">
        <v>535</v>
      </c>
      <c r="AM14" s="40"/>
      <c r="AN14" s="270" t="str">
        <f>'ANNEXURE II'!D34</f>
        <v>HDFC LIFE INSURANCE</v>
      </c>
      <c r="AO14" s="522">
        <f>DATA!J11</f>
        <v>0</v>
      </c>
      <c r="AP14" s="4"/>
      <c r="AQ14" s="523">
        <f t="shared" si="14"/>
        <v>0</v>
      </c>
      <c r="AR14" s="523">
        <f t="shared" ref="AR14:AT14" si="47">AQ14</f>
        <v>0</v>
      </c>
      <c r="AS14" s="523">
        <f t="shared" si="47"/>
        <v>0</v>
      </c>
      <c r="AT14" s="523">
        <f t="shared" si="47"/>
        <v>0</v>
      </c>
      <c r="AU14" s="523">
        <f>IF(KEY!$AY$29="NEW",0,AT14)</f>
        <v>0</v>
      </c>
      <c r="AV14" s="40"/>
      <c r="AW14" s="1"/>
      <c r="AX14" s="502" t="s">
        <v>508</v>
      </c>
      <c r="AY14" s="503">
        <v>0.3</v>
      </c>
      <c r="AZ14" s="504">
        <f>MIN(MAX(KEY!$BR$11-(AZ11+AZ12+AZ13),0))</f>
        <v>0</v>
      </c>
      <c r="BA14" s="504">
        <f t="shared" si="37"/>
        <v>0</v>
      </c>
      <c r="BB14" s="505" t="b">
        <f>IF(AND(AZ17&gt;5000000,AZ17&lt;=10000000),ROUND(BA17*10%,0),
IF(AND(AZ17&gt;10000000,AZ17&lt;=20000000),ROUND(BA17*15%,0),
IF(AND(AZ17&gt;20000000,AZ17&lt;=50000000),ROUND(BA17*25%,0),
IF(AND(AZ17&gt;5000000),ROUND(BA17*37%,0)))))</f>
        <v>0</v>
      </c>
      <c r="BC14" s="506"/>
      <c r="BD14" s="502" t="str">
        <f t="shared" ref="BD14:BH14" si="48">BD5</f>
        <v>Rs. 1000001 - Rs.1200000</v>
      </c>
      <c r="BE14" s="503">
        <f t="shared" si="48"/>
        <v>0.15</v>
      </c>
      <c r="BF14" s="504">
        <f t="shared" si="48"/>
        <v>80840</v>
      </c>
      <c r="BG14" s="504">
        <f t="shared" si="48"/>
        <v>12126</v>
      </c>
      <c r="BH14" s="505">
        <f t="shared" si="48"/>
        <v>0</v>
      </c>
      <c r="BI14" s="506"/>
      <c r="BJ14" s="502" t="str">
        <f>IF(KEY!$BA$8&lt;=KEY!$BG$8,AX14,BD14)</f>
        <v>Rs. 1000001 - Rs.1200000</v>
      </c>
      <c r="BK14" s="503">
        <f>IF(KEY!$BA$8&lt;=KEY!$BG$8,AY14,BE14)</f>
        <v>0.15</v>
      </c>
      <c r="BL14" s="504">
        <f>IF(KEY!$BA$8&lt;=KEY!$BG$8,AZ14,BF14)</f>
        <v>80840</v>
      </c>
      <c r="BM14" s="504">
        <f>IF(KEY!$BA$8&lt;=KEY!$BG$8,BA14,BG14)</f>
        <v>12126</v>
      </c>
      <c r="BN14" s="505">
        <f>IF(KEY!$BA$8&lt;=KEY!$BG$8,BB14,BH14)</f>
        <v>0</v>
      </c>
      <c r="BO14" s="506"/>
      <c r="BP14" s="16"/>
      <c r="BQ14" s="16"/>
      <c r="BR14" s="16"/>
      <c r="BS14" s="16"/>
      <c r="BT14" s="26"/>
      <c r="BU14" s="16"/>
      <c r="BV14" s="16"/>
      <c r="BW14" s="16"/>
    </row>
    <row r="15" spans="1:75" ht="15.75" hidden="1" customHeight="1">
      <c r="A15" s="40"/>
      <c r="B15" s="497">
        <v>26720</v>
      </c>
      <c r="C15" s="497">
        <f t="shared" ref="C15:D15" si="49">B16</f>
        <v>27500</v>
      </c>
      <c r="D15" s="509">
        <f t="shared" si="49"/>
        <v>28280</v>
      </c>
      <c r="E15" s="223">
        <v>28280</v>
      </c>
      <c r="F15" s="40"/>
      <c r="G15" s="1"/>
      <c r="H15" s="1"/>
      <c r="I15" s="40"/>
      <c r="J15" s="512">
        <v>45323</v>
      </c>
      <c r="K15" s="497">
        <f t="shared" si="12"/>
        <v>69020</v>
      </c>
      <c r="L15" s="40"/>
      <c r="M15" s="513">
        <f t="shared" ref="M15:M26" si="50">INDEX($J$17:$K$28,ROWS(J17:K$28),1)</f>
        <v>44927</v>
      </c>
      <c r="N15" s="514" t="str">
        <f t="shared" ref="N15:N26" si="51">IF(VALUE($H$9)=VALUE(M15),$G$9, "")</f>
        <v/>
      </c>
      <c r="O15" s="515">
        <f t="shared" ref="O15:O26" si="52">INDEX($J$17:$K$28,ROWS(J17:K$28),2)</f>
        <v>65360</v>
      </c>
      <c r="P15" s="514" t="str">
        <f t="shared" si="5"/>
        <v/>
      </c>
      <c r="Q15" s="515">
        <f t="shared" si="6"/>
        <v>63660</v>
      </c>
      <c r="R15" s="515">
        <f t="shared" si="7"/>
        <v>63660</v>
      </c>
      <c r="S15" s="40"/>
      <c r="T15" s="1"/>
      <c r="U15" s="1"/>
      <c r="V15" s="1"/>
      <c r="W15" s="1"/>
      <c r="X15" s="1"/>
      <c r="Y15" s="3"/>
      <c r="Z15" s="40"/>
      <c r="AA15" s="513">
        <f t="shared" ref="AA15:AA26" si="53">INDEX($J$17:$K$28,ROWS(X17:Y$28),1)</f>
        <v>44927</v>
      </c>
      <c r="AB15" s="545">
        <f t="shared" si="29"/>
        <v>2317</v>
      </c>
      <c r="AC15" s="545">
        <f t="shared" si="30"/>
        <v>232</v>
      </c>
      <c r="AD15" s="545">
        <f t="shared" si="31"/>
        <v>2085</v>
      </c>
      <c r="AE15" s="40"/>
      <c r="AF15" s="545">
        <f t="shared" ref="AF15:AF39" si="54">IF($AH$2&lt;M15, 0, ROUND(R15*$AH$5*100%,0) - ROUND(R15*$AH$4*100%,0))</f>
        <v>2317</v>
      </c>
      <c r="AG15" s="545">
        <f t="shared" ref="AG15:AG39" si="55">IF(AF15=0,0,ROUND(R15*$AH$5*10%,0) - ROUND(R15*$AH$4*10%,0))</f>
        <v>231</v>
      </c>
      <c r="AH15" s="545">
        <f t="shared" ref="AH15:AH40" si="56">AF15-AG15</f>
        <v>2086</v>
      </c>
      <c r="AI15" s="40"/>
      <c r="AJ15" s="1"/>
      <c r="AK15" s="4"/>
      <c r="AL15" s="521" t="s">
        <v>38</v>
      </c>
      <c r="AM15" s="40"/>
      <c r="AN15" s="270" t="str">
        <f>'ANNEXURE II'!D35</f>
        <v>OTHERS_________________</v>
      </c>
      <c r="AO15" s="522">
        <f>DATA!J12</f>
        <v>0</v>
      </c>
      <c r="AP15" s="4"/>
      <c r="AQ15" s="523">
        <f t="shared" si="14"/>
        <v>0</v>
      </c>
      <c r="AR15" s="523">
        <f t="shared" ref="AR15:AT15" si="57">AQ15</f>
        <v>0</v>
      </c>
      <c r="AS15" s="523">
        <f t="shared" si="57"/>
        <v>0</v>
      </c>
      <c r="AT15" s="523">
        <f t="shared" si="57"/>
        <v>0</v>
      </c>
      <c r="AU15" s="523">
        <f>IF(KEY!$AY$29="NEW",0,AT15)</f>
        <v>0</v>
      </c>
      <c r="AV15" s="40"/>
      <c r="AW15" s="1"/>
      <c r="AX15" s="502" t="s">
        <v>40</v>
      </c>
      <c r="AY15" s="503" t="s">
        <v>40</v>
      </c>
      <c r="AZ15" s="504">
        <v>0</v>
      </c>
      <c r="BA15" s="504">
        <v>0</v>
      </c>
      <c r="BB15" s="535">
        <f>MAX(0,(BA17+BB14)-(BB13+BB12)-($BR$11-BB11))</f>
        <v>0</v>
      </c>
      <c r="BC15" s="506"/>
      <c r="BD15" s="502" t="str">
        <f t="shared" ref="BD15:BH15" si="58">BD6</f>
        <v>Rs.1200001 - Rs.1500000</v>
      </c>
      <c r="BE15" s="503">
        <f t="shared" si="58"/>
        <v>0.2</v>
      </c>
      <c r="BF15" s="504">
        <f t="shared" si="58"/>
        <v>0</v>
      </c>
      <c r="BG15" s="504">
        <f t="shared" si="58"/>
        <v>0</v>
      </c>
      <c r="BH15" s="536">
        <f t="shared" si="58"/>
        <v>0</v>
      </c>
      <c r="BI15" s="506"/>
      <c r="BJ15" s="502" t="str">
        <f>IF(KEY!$BA$8&lt;=KEY!$BG$8,AX15,BD15)</f>
        <v>Rs.1200001 - Rs.1500000</v>
      </c>
      <c r="BK15" s="503">
        <f>IF(KEY!$BA$8&lt;=KEY!$BG$8,AY15,BE15)</f>
        <v>0.2</v>
      </c>
      <c r="BL15" s="504">
        <f>IF(KEY!$BA$8&lt;=KEY!$BG$8,AZ15,BF15)</f>
        <v>0</v>
      </c>
      <c r="BM15" s="504">
        <f>IF(KEY!$BA$8&lt;=KEY!$BG$8,BA15,BG15)</f>
        <v>0</v>
      </c>
      <c r="BN15" s="536">
        <f>IF(KEY!$BA$8&lt;=KEY!$BG$8,BB15,BH15)</f>
        <v>0</v>
      </c>
      <c r="BO15" s="506"/>
      <c r="BP15" s="16"/>
      <c r="BQ15" s="16"/>
      <c r="BR15" s="16"/>
      <c r="BS15" s="16"/>
      <c r="BT15" s="26"/>
      <c r="BU15" s="16"/>
      <c r="BV15" s="16"/>
      <c r="BW15" s="16"/>
    </row>
    <row r="16" spans="1:75" ht="15.75" hidden="1" customHeight="1">
      <c r="A16" s="40"/>
      <c r="B16" s="497">
        <v>27500</v>
      </c>
      <c r="C16" s="497">
        <f t="shared" ref="C16:D16" si="59">B17</f>
        <v>28280</v>
      </c>
      <c r="D16" s="509">
        <f t="shared" si="59"/>
        <v>29130</v>
      </c>
      <c r="E16" s="223">
        <v>29130</v>
      </c>
      <c r="F16" s="40"/>
      <c r="G16" s="1"/>
      <c r="H16" s="1"/>
      <c r="I16" s="40"/>
      <c r="J16" s="512">
        <v>45292</v>
      </c>
      <c r="K16" s="497">
        <f t="shared" si="12"/>
        <v>69020</v>
      </c>
      <c r="L16" s="40"/>
      <c r="M16" s="513">
        <f t="shared" si="50"/>
        <v>44958</v>
      </c>
      <c r="N16" s="514" t="str">
        <f t="shared" si="51"/>
        <v/>
      </c>
      <c r="O16" s="515">
        <f t="shared" si="52"/>
        <v>65360</v>
      </c>
      <c r="P16" s="514" t="str">
        <f t="shared" si="5"/>
        <v/>
      </c>
      <c r="Q16" s="515">
        <f t="shared" si="6"/>
        <v>63660</v>
      </c>
      <c r="R16" s="515">
        <f t="shared" si="7"/>
        <v>63660</v>
      </c>
      <c r="S16" s="40"/>
      <c r="T16" s="553" t="s">
        <v>536</v>
      </c>
      <c r="U16" s="553"/>
      <c r="V16" s="554"/>
      <c r="W16" s="555"/>
      <c r="X16" s="1017"/>
      <c r="Y16" s="824"/>
      <c r="Z16" s="40"/>
      <c r="AA16" s="513">
        <f t="shared" si="53"/>
        <v>44958</v>
      </c>
      <c r="AB16" s="545">
        <f t="shared" si="29"/>
        <v>2317</v>
      </c>
      <c r="AC16" s="545">
        <f t="shared" si="30"/>
        <v>232</v>
      </c>
      <c r="AD16" s="545">
        <f t="shared" si="31"/>
        <v>2085</v>
      </c>
      <c r="AE16" s="40"/>
      <c r="AF16" s="545">
        <f t="shared" si="54"/>
        <v>2317</v>
      </c>
      <c r="AG16" s="545">
        <f t="shared" si="55"/>
        <v>231</v>
      </c>
      <c r="AH16" s="545">
        <f t="shared" si="56"/>
        <v>2086</v>
      </c>
      <c r="AI16" s="40"/>
      <c r="AJ16" s="1"/>
      <c r="AK16" s="4"/>
      <c r="AL16" s="521" t="s">
        <v>537</v>
      </c>
      <c r="AM16" s="40"/>
      <c r="AN16" s="270" t="s">
        <v>538</v>
      </c>
      <c r="AO16" s="523">
        <f>SUM(AO3:AO15)</f>
        <v>150720</v>
      </c>
      <c r="AP16" s="4"/>
      <c r="AQ16" s="523">
        <f t="shared" ref="AQ16:AR16" si="60">SUM(AQ3:AQ15)</f>
        <v>150720</v>
      </c>
      <c r="AR16" s="523">
        <f t="shared" si="60"/>
        <v>150720</v>
      </c>
      <c r="AS16" s="523">
        <f t="shared" ref="AS16:AS17" si="61">AR16</f>
        <v>150720</v>
      </c>
      <c r="AT16" s="523">
        <f>MIN(150000,AS16)</f>
        <v>150000</v>
      </c>
      <c r="AU16" s="523">
        <f>IF(KEY!$AY$29="NEW",0,AT16)</f>
        <v>0</v>
      </c>
      <c r="AV16" s="40"/>
      <c r="AW16" s="1"/>
      <c r="AX16" s="502" t="s">
        <v>40</v>
      </c>
      <c r="AY16" s="503" t="s">
        <v>40</v>
      </c>
      <c r="AZ16" s="504">
        <v>0</v>
      </c>
      <c r="BA16" s="504">
        <v>0</v>
      </c>
      <c r="BB16" s="537"/>
      <c r="BC16" s="506"/>
      <c r="BD16" s="502" t="str">
        <f t="shared" ref="BD16:BH16" si="62">BD7</f>
        <v>Rs.1500000 &amp;    ABOVE</v>
      </c>
      <c r="BE16" s="503">
        <f t="shared" si="62"/>
        <v>0.3</v>
      </c>
      <c r="BF16" s="504">
        <f t="shared" si="62"/>
        <v>0</v>
      </c>
      <c r="BG16" s="504">
        <f t="shared" si="62"/>
        <v>0</v>
      </c>
      <c r="BH16" s="538">
        <f t="shared" si="62"/>
        <v>0</v>
      </c>
      <c r="BI16" s="506"/>
      <c r="BJ16" s="502" t="str">
        <f>IF(KEY!$BA$8&lt;=KEY!$BG$8,AX16,BD16)</f>
        <v>Rs.1500000 &amp;    ABOVE</v>
      </c>
      <c r="BK16" s="503">
        <f>IF(KEY!$BA$8&lt;=KEY!$BG$8,AY16,BE16)</f>
        <v>0.3</v>
      </c>
      <c r="BL16" s="504">
        <f>IF(KEY!$BA$8&lt;=KEY!$BG$8,AZ16,BF16)</f>
        <v>0</v>
      </c>
      <c r="BM16" s="504">
        <f>IF(KEY!$BA$8&lt;=KEY!$BG$8,BA16,BG16)</f>
        <v>0</v>
      </c>
      <c r="BN16" s="538">
        <f>IF(KEY!$BA$8&lt;=KEY!$BG$8,BB16,BH16)</f>
        <v>0</v>
      </c>
      <c r="BO16" s="506"/>
      <c r="BP16" s="16"/>
      <c r="BQ16" s="16"/>
      <c r="BR16" s="16"/>
      <c r="BS16" s="16"/>
      <c r="BT16" s="26"/>
      <c r="BU16" s="16"/>
      <c r="BV16" s="16"/>
      <c r="BW16" s="16"/>
    </row>
    <row r="17" spans="1:75" ht="15.75" hidden="1" customHeight="1">
      <c r="A17" s="40"/>
      <c r="B17" s="497">
        <v>28280</v>
      </c>
      <c r="C17" s="497">
        <f t="shared" ref="C17:D17" si="63">B18</f>
        <v>29130</v>
      </c>
      <c r="D17" s="509">
        <f t="shared" si="63"/>
        <v>29980</v>
      </c>
      <c r="E17" s="223">
        <v>29980</v>
      </c>
      <c r="F17" s="40"/>
      <c r="G17" s="556" t="s">
        <v>33</v>
      </c>
      <c r="H17" s="1"/>
      <c r="I17" s="40"/>
      <c r="J17" s="512">
        <v>45261</v>
      </c>
      <c r="K17" s="497">
        <f>IF(VALUE(H10)=VALUE(J16),LOOKUP(H4,BP_2021,BP_2020),H4)</f>
        <v>67190</v>
      </c>
      <c r="L17" s="40"/>
      <c r="M17" s="513">
        <f t="shared" si="50"/>
        <v>44986</v>
      </c>
      <c r="N17" s="514" t="str">
        <f t="shared" si="51"/>
        <v/>
      </c>
      <c r="O17" s="515">
        <f t="shared" si="52"/>
        <v>65360</v>
      </c>
      <c r="P17" s="514" t="str">
        <f t="shared" si="5"/>
        <v/>
      </c>
      <c r="Q17" s="515">
        <f t="shared" si="6"/>
        <v>63660</v>
      </c>
      <c r="R17" s="515">
        <f t="shared" si="7"/>
        <v>63660</v>
      </c>
      <c r="S17" s="40"/>
      <c r="T17" s="1"/>
      <c r="U17" s="1"/>
      <c r="V17" s="1"/>
      <c r="W17" s="1"/>
      <c r="X17" s="1"/>
      <c r="Y17" s="3"/>
      <c r="Z17" s="40"/>
      <c r="AA17" s="513">
        <f t="shared" si="53"/>
        <v>44986</v>
      </c>
      <c r="AB17" s="545">
        <f t="shared" si="29"/>
        <v>2317</v>
      </c>
      <c r="AC17" s="545">
        <f t="shared" si="30"/>
        <v>232</v>
      </c>
      <c r="AD17" s="545">
        <f t="shared" si="31"/>
        <v>2085</v>
      </c>
      <c r="AE17" s="40"/>
      <c r="AF17" s="545">
        <f t="shared" si="54"/>
        <v>2317</v>
      </c>
      <c r="AG17" s="545">
        <f t="shared" si="55"/>
        <v>231</v>
      </c>
      <c r="AH17" s="545">
        <f t="shared" si="56"/>
        <v>2086</v>
      </c>
      <c r="AI17" s="40"/>
      <c r="AJ17" s="1"/>
      <c r="AK17" s="4"/>
      <c r="AL17" s="521" t="s">
        <v>539</v>
      </c>
      <c r="AM17" s="40"/>
      <c r="AN17" s="286" t="str">
        <f>'ANNEXURE II'!C37</f>
        <v>National Pension Scheme    U/s 80CCD (1)(B)</v>
      </c>
      <c r="AO17" s="522">
        <f>IF(DATA!$D$5="CPS",AR25,0)</f>
        <v>0</v>
      </c>
      <c r="AP17" s="4"/>
      <c r="AQ17" s="523">
        <f>IF(AND(DATA!D5="CPS",DATA!J14="YES"),AR25,MIN(DATA!J13,50000))</f>
        <v>50000</v>
      </c>
      <c r="AR17" s="523">
        <f>IF(AR2="SPLIT", AQ17, AO17)</f>
        <v>0</v>
      </c>
      <c r="AS17" s="523">
        <f t="shared" si="61"/>
        <v>0</v>
      </c>
      <c r="AT17" s="523">
        <f>AS17</f>
        <v>0</v>
      </c>
      <c r="AU17" s="523">
        <f>IF(KEY!$AY$29="NEW",0,AT17)</f>
        <v>0</v>
      </c>
      <c r="AV17" s="40"/>
      <c r="AW17" s="1"/>
      <c r="AX17" s="502" t="s">
        <v>40</v>
      </c>
      <c r="AY17" s="503"/>
      <c r="AZ17" s="543">
        <f t="shared" ref="AZ17:BA17" si="64">SUM(AZ11:AZ16)</f>
        <v>948430</v>
      </c>
      <c r="BA17" s="543">
        <f t="shared" si="64"/>
        <v>99686</v>
      </c>
      <c r="BB17" s="537"/>
      <c r="BC17" s="506"/>
      <c r="BD17" s="502" t="str">
        <f t="shared" ref="BD17:BG17" si="65">BD8</f>
        <v>-</v>
      </c>
      <c r="BE17" s="503">
        <f t="shared" si="65"/>
        <v>0</v>
      </c>
      <c r="BF17" s="543">
        <f t="shared" si="65"/>
        <v>1080840</v>
      </c>
      <c r="BG17" s="543">
        <f t="shared" si="65"/>
        <v>62126</v>
      </c>
      <c r="BH17" s="537"/>
      <c r="BI17" s="506"/>
      <c r="BJ17" s="502">
        <f>BJ8</f>
        <v>0</v>
      </c>
      <c r="BK17" s="503"/>
      <c r="BL17" s="543">
        <f t="shared" ref="BL17:BM17" si="66">BL8</f>
        <v>1080840</v>
      </c>
      <c r="BM17" s="543">
        <f t="shared" si="66"/>
        <v>62126</v>
      </c>
      <c r="BN17" s="537"/>
      <c r="BO17" s="506"/>
      <c r="BP17" s="16"/>
      <c r="BQ17" s="16"/>
      <c r="BR17" s="16"/>
      <c r="BS17" s="16"/>
      <c r="BT17" s="26"/>
      <c r="BU17" s="16"/>
      <c r="BV17" s="16"/>
      <c r="BW17" s="16"/>
    </row>
    <row r="18" spans="1:75" ht="15.75" hidden="1" customHeight="1">
      <c r="A18" s="40"/>
      <c r="B18" s="497">
        <v>29130</v>
      </c>
      <c r="C18" s="497">
        <f t="shared" ref="C18:D18" si="67">B19</f>
        <v>29980</v>
      </c>
      <c r="D18" s="509">
        <f t="shared" si="67"/>
        <v>30830</v>
      </c>
      <c r="E18" s="223">
        <v>30830</v>
      </c>
      <c r="F18" s="40"/>
      <c r="G18" s="556">
        <v>44562</v>
      </c>
      <c r="H18" s="1"/>
      <c r="I18" s="40"/>
      <c r="J18" s="512">
        <v>45231</v>
      </c>
      <c r="K18" s="497">
        <f t="shared" ref="K18:K28" si="68">IF(VALUE($H$9)&gt;VALUE(J18),LOOKUP($H$4,BP_2021,BP_2020),K17)</f>
        <v>65360</v>
      </c>
      <c r="L18" s="40"/>
      <c r="M18" s="513">
        <f t="shared" si="50"/>
        <v>45017</v>
      </c>
      <c r="N18" s="514" t="str">
        <f t="shared" si="51"/>
        <v/>
      </c>
      <c r="O18" s="515">
        <f t="shared" si="52"/>
        <v>65360</v>
      </c>
      <c r="P18" s="514" t="str">
        <f t="shared" si="5"/>
        <v/>
      </c>
      <c r="Q18" s="515">
        <f t="shared" si="6"/>
        <v>63660</v>
      </c>
      <c r="R18" s="515">
        <f t="shared" si="7"/>
        <v>63660</v>
      </c>
      <c r="S18" s="40"/>
      <c r="T18" s="1"/>
      <c r="U18" s="1"/>
      <c r="V18" s="1"/>
      <c r="W18" s="1"/>
      <c r="X18" s="1"/>
      <c r="Y18" s="3"/>
      <c r="Z18" s="40"/>
      <c r="AA18" s="513">
        <f t="shared" si="53"/>
        <v>45017</v>
      </c>
      <c r="AB18" s="545">
        <f t="shared" si="29"/>
        <v>2317</v>
      </c>
      <c r="AC18" s="545">
        <f t="shared" si="30"/>
        <v>232</v>
      </c>
      <c r="AD18" s="545">
        <f t="shared" si="31"/>
        <v>2085</v>
      </c>
      <c r="AE18" s="40"/>
      <c r="AF18" s="545">
        <f t="shared" si="54"/>
        <v>2317</v>
      </c>
      <c r="AG18" s="545">
        <f t="shared" si="55"/>
        <v>231</v>
      </c>
      <c r="AH18" s="545">
        <f t="shared" si="56"/>
        <v>2086</v>
      </c>
      <c r="AI18" s="40"/>
      <c r="AJ18" s="1"/>
      <c r="AK18" s="4"/>
      <c r="AL18" s="521" t="s">
        <v>43</v>
      </c>
      <c r="AM18" s="40"/>
      <c r="AN18" s="270" t="s">
        <v>540</v>
      </c>
      <c r="AO18" s="523">
        <f>AO16+AO17</f>
        <v>150720</v>
      </c>
      <c r="AP18" s="4"/>
      <c r="AQ18" s="523">
        <f t="shared" ref="AQ18:AS18" si="69">AQ16+AQ17</f>
        <v>200720</v>
      </c>
      <c r="AR18" s="523">
        <f t="shared" si="69"/>
        <v>150720</v>
      </c>
      <c r="AS18" s="523">
        <f t="shared" si="69"/>
        <v>150720</v>
      </c>
      <c r="AT18" s="523">
        <f>AT16+MIN(50000,AT17)</f>
        <v>150000</v>
      </c>
      <c r="AU18" s="523">
        <f>IF(KEY!$AY$29="NEW",0,AT18)</f>
        <v>0</v>
      </c>
      <c r="AV18" s="40"/>
      <c r="AW18" s="1"/>
      <c r="AX18" s="506"/>
      <c r="AY18" s="506"/>
      <c r="AZ18" s="506"/>
      <c r="BA18" s="506"/>
      <c r="BB18" s="506"/>
      <c r="BC18" s="506"/>
      <c r="BD18" s="546"/>
      <c r="BE18" s="506"/>
      <c r="BF18" s="506"/>
      <c r="BG18" s="506"/>
      <c r="BH18" s="506"/>
      <c r="BI18" s="506"/>
      <c r="BJ18" s="546"/>
      <c r="BK18" s="506"/>
      <c r="BL18" s="506"/>
      <c r="BM18" s="506"/>
      <c r="BN18" s="506"/>
      <c r="BO18" s="506"/>
      <c r="BP18" s="16"/>
      <c r="BQ18" s="1020" t="str">
        <f>IF(BR19&lt;=60,"YOU ARE A GENERAL CITIZEN",
  IF(BR19&gt;80,"YOU ARE A SUPER SENIOR CITIZEN",
"YOU ARE A SENIOR CITIZEN"))</f>
        <v>YOU ARE A GENERAL CITIZEN</v>
      </c>
      <c r="BR18" s="742"/>
      <c r="BS18" s="16"/>
      <c r="BT18" s="26"/>
      <c r="BU18" s="16"/>
      <c r="BV18" s="16"/>
      <c r="BW18" s="16"/>
    </row>
    <row r="19" spans="1:75" ht="15.75" hidden="1" customHeight="1">
      <c r="A19" s="40"/>
      <c r="B19" s="497">
        <v>29980</v>
      </c>
      <c r="C19" s="497">
        <f t="shared" ref="C19:D19" si="70">B20</f>
        <v>30830</v>
      </c>
      <c r="D19" s="509">
        <f t="shared" si="70"/>
        <v>31750</v>
      </c>
      <c r="E19" s="223">
        <v>31750</v>
      </c>
      <c r="F19" s="40"/>
      <c r="G19" s="556">
        <v>44593</v>
      </c>
      <c r="H19" s="1"/>
      <c r="I19" s="40"/>
      <c r="J19" s="512">
        <v>45200</v>
      </c>
      <c r="K19" s="497">
        <f t="shared" si="68"/>
        <v>65360</v>
      </c>
      <c r="L19" s="40"/>
      <c r="M19" s="513">
        <f t="shared" si="50"/>
        <v>45047</v>
      </c>
      <c r="N19" s="514" t="str">
        <f t="shared" si="51"/>
        <v/>
      </c>
      <c r="O19" s="515">
        <f t="shared" si="52"/>
        <v>65360</v>
      </c>
      <c r="P19" s="514" t="str">
        <f t="shared" si="5"/>
        <v/>
      </c>
      <c r="Q19" s="515">
        <f t="shared" si="6"/>
        <v>63660</v>
      </c>
      <c r="R19" s="515">
        <f t="shared" si="7"/>
        <v>63660</v>
      </c>
      <c r="S19" s="40"/>
      <c r="T19" s="1"/>
      <c r="U19" s="1"/>
      <c r="V19" s="1"/>
      <c r="W19" s="1"/>
      <c r="X19" s="1"/>
      <c r="Y19" s="1"/>
      <c r="Z19" s="40"/>
      <c r="AA19" s="513">
        <f t="shared" si="53"/>
        <v>45047</v>
      </c>
      <c r="AB19" s="545">
        <f t="shared" si="29"/>
        <v>2317</v>
      </c>
      <c r="AC19" s="545">
        <f t="shared" si="30"/>
        <v>232</v>
      </c>
      <c r="AD19" s="545">
        <f t="shared" si="31"/>
        <v>2085</v>
      </c>
      <c r="AE19" s="40"/>
      <c r="AF19" s="545">
        <f t="shared" si="54"/>
        <v>2317</v>
      </c>
      <c r="AG19" s="545">
        <f t="shared" si="55"/>
        <v>231</v>
      </c>
      <c r="AH19" s="545">
        <f t="shared" si="56"/>
        <v>2086</v>
      </c>
      <c r="AI19" s="40"/>
      <c r="AJ19" s="1"/>
      <c r="AK19" s="4"/>
      <c r="AL19" s="521" t="s">
        <v>43</v>
      </c>
      <c r="AM19" s="40"/>
      <c r="AN19" s="286" t="str">
        <f>'ANNEXURE II'!C38</f>
        <v>National Pension Scheme    U/s 80CCD (2)</v>
      </c>
      <c r="AO19" s="557">
        <f>IF(DATA!$D$5="CPS",AO3,0)</f>
        <v>0</v>
      </c>
      <c r="AP19" s="558"/>
      <c r="AQ19" s="557"/>
      <c r="AR19" s="557"/>
      <c r="AS19" s="557"/>
      <c r="AT19" s="557"/>
      <c r="AU19" s="557">
        <f>IF(AND(DATA!$D$5="CPS",DATA!J21="YES"),MIN('ANNEXURE II'!I7*10%,AO19),0)</f>
        <v>0</v>
      </c>
      <c r="AV19" s="40"/>
      <c r="AW19" s="1"/>
      <c r="AX19" s="1016" t="s">
        <v>467</v>
      </c>
      <c r="AY19" s="742"/>
      <c r="AZ19" s="1021" t="s">
        <v>541</v>
      </c>
      <c r="BA19" s="742"/>
      <c r="BB19" s="485" t="s">
        <v>469</v>
      </c>
      <c r="BC19" s="506"/>
      <c r="BD19" s="1016" t="s">
        <v>470</v>
      </c>
      <c r="BE19" s="742"/>
      <c r="BF19" s="1015" t="str">
        <f>AZ19</f>
        <v>AGE &gt;80</v>
      </c>
      <c r="BG19" s="742"/>
      <c r="BH19" s="485" t="s">
        <v>469</v>
      </c>
      <c r="BI19" s="506"/>
      <c r="BJ19" s="1016" t="s">
        <v>471</v>
      </c>
      <c r="BK19" s="742"/>
      <c r="BL19" s="1015" t="str">
        <f>BF19</f>
        <v>AGE &gt;80</v>
      </c>
      <c r="BM19" s="742"/>
      <c r="BN19" s="485" t="s">
        <v>469</v>
      </c>
      <c r="BO19" s="506"/>
      <c r="BP19" s="16"/>
      <c r="BQ19" s="559" t="s">
        <v>542</v>
      </c>
      <c r="BR19" s="560">
        <f>IFERROR(DATEDIF(BR7,BR22,"Y"),60)</f>
        <v>40</v>
      </c>
      <c r="BS19" s="16"/>
      <c r="BT19" s="26"/>
      <c r="BU19" s="16"/>
      <c r="BV19" s="16"/>
      <c r="BW19" s="16"/>
    </row>
    <row r="20" spans="1:75" ht="15.75" hidden="1" customHeight="1">
      <c r="A20" s="40"/>
      <c r="B20" s="497">
        <v>30830</v>
      </c>
      <c r="C20" s="497">
        <f t="shared" ref="C20:D20" si="71">B21</f>
        <v>31750</v>
      </c>
      <c r="D20" s="509">
        <f t="shared" si="71"/>
        <v>32670</v>
      </c>
      <c r="E20" s="223">
        <v>32670</v>
      </c>
      <c r="F20" s="40"/>
      <c r="G20" s="556">
        <v>44621</v>
      </c>
      <c r="H20" s="1"/>
      <c r="I20" s="40"/>
      <c r="J20" s="512">
        <v>45170</v>
      </c>
      <c r="K20" s="497">
        <f t="shared" si="68"/>
        <v>65360</v>
      </c>
      <c r="L20" s="40"/>
      <c r="M20" s="513">
        <f t="shared" si="50"/>
        <v>45078</v>
      </c>
      <c r="N20" s="514" t="str">
        <f t="shared" si="51"/>
        <v/>
      </c>
      <c r="O20" s="515">
        <f t="shared" si="52"/>
        <v>65360</v>
      </c>
      <c r="P20" s="514" t="str">
        <f t="shared" si="5"/>
        <v/>
      </c>
      <c r="Q20" s="515">
        <f t="shared" si="6"/>
        <v>63660</v>
      </c>
      <c r="R20" s="515">
        <f t="shared" si="7"/>
        <v>63660</v>
      </c>
      <c r="S20" s="40"/>
      <c r="T20" s="1"/>
      <c r="U20" s="1"/>
      <c r="V20" s="1"/>
      <c r="W20" s="1"/>
      <c r="X20" s="1"/>
      <c r="Y20" s="3"/>
      <c r="Z20" s="40"/>
      <c r="AA20" s="513">
        <f t="shared" si="53"/>
        <v>45078</v>
      </c>
      <c r="AB20" s="545">
        <f t="shared" si="29"/>
        <v>2317</v>
      </c>
      <c r="AC20" s="545">
        <f t="shared" si="30"/>
        <v>232</v>
      </c>
      <c r="AD20" s="545">
        <f t="shared" si="31"/>
        <v>2085</v>
      </c>
      <c r="AE20" s="40"/>
      <c r="AF20" s="545">
        <f t="shared" si="54"/>
        <v>2317</v>
      </c>
      <c r="AG20" s="545">
        <f t="shared" si="55"/>
        <v>231</v>
      </c>
      <c r="AH20" s="545">
        <f t="shared" si="56"/>
        <v>2086</v>
      </c>
      <c r="AI20" s="40"/>
      <c r="AJ20" s="1"/>
      <c r="AK20" s="4"/>
      <c r="AL20" s="521"/>
      <c r="AM20" s="40"/>
      <c r="AN20" s="1"/>
      <c r="AO20" s="1"/>
      <c r="AP20" s="4"/>
      <c r="AQ20" s="1"/>
      <c r="AR20" s="1"/>
      <c r="AS20" s="1"/>
      <c r="AT20" s="1"/>
      <c r="AU20" s="1"/>
      <c r="AV20" s="40"/>
      <c r="AW20" s="1"/>
      <c r="AX20" s="502" t="s">
        <v>543</v>
      </c>
      <c r="AY20" s="503">
        <v>0</v>
      </c>
      <c r="AZ20" s="504">
        <v>500000</v>
      </c>
      <c r="BA20" s="504">
        <f>ROUND(AZ20*AY20,0)</f>
        <v>0</v>
      </c>
      <c r="BB20" s="505">
        <f>IF(AND(KEY!$BR$11&gt;=5000000,KEY!$BR$11&lt;=10000000),5000000,IF(AND(KEY!$BR$11&gt;10000000,KEY!$BR$11&lt;=20000000),10000000,IF(AND(KEY!$BR$11&gt;20000000,KEY!$BR$11&lt;=50000000),20000000,IF(AND(KEY!$BR$11&gt;50000000),50000000,0))))</f>
        <v>0</v>
      </c>
      <c r="BC20" s="506"/>
      <c r="BD20" s="502" t="str">
        <f t="shared" ref="BD20:BH20" si="72">BD11</f>
        <v>Rs.  000000 - Rs.  300000</v>
      </c>
      <c r="BE20" s="503">
        <f t="shared" si="72"/>
        <v>0</v>
      </c>
      <c r="BF20" s="504">
        <f t="shared" si="72"/>
        <v>300000</v>
      </c>
      <c r="BG20" s="504">
        <f t="shared" si="72"/>
        <v>0</v>
      </c>
      <c r="BH20" s="505">
        <f t="shared" si="72"/>
        <v>0</v>
      </c>
      <c r="BI20" s="506"/>
      <c r="BJ20" s="502" t="str">
        <f>IF(KEY!$BA$8&lt;=KEY!$BG$8,AX20,BD20)</f>
        <v>Rs.  000000 - Rs.  300000</v>
      </c>
      <c r="BK20" s="503">
        <f>IF(KEY!$BA$8&lt;=KEY!$BG$8,AY20,BE20)</f>
        <v>0</v>
      </c>
      <c r="BL20" s="504">
        <f>IF(KEY!$BA$8&lt;=KEY!$BG$8,AZ20,BF20)</f>
        <v>300000</v>
      </c>
      <c r="BM20" s="504">
        <f>IF(KEY!$BA$8&lt;=KEY!$BG$8,BA20,BG20)</f>
        <v>0</v>
      </c>
      <c r="BN20" s="505">
        <f>IF(KEY!$BA$8&lt;=KEY!$BG$8,BB20,BH20)</f>
        <v>0</v>
      </c>
      <c r="BO20" s="506"/>
      <c r="BP20" s="16"/>
      <c r="BQ20" s="1019" t="str">
        <f>IFERROR("YOUR AGE : "&amp;DATEDIF(BR7,BR22,"y")&amp;" YEARS - "&amp;DATEDIF(BR7,BR22,"ym")&amp;" MONTH(s) - "&amp;DATEDIF(BR7,BR22,"md")&amp;" DAY(s)","CHECK YOUR DATE OF BIRTH ENTRY")</f>
        <v>YOUR AGE : 40 YEARS - 1 MONTH(s) - 20 DAY(s)</v>
      </c>
      <c r="BR20" s="742"/>
      <c r="BS20" s="16"/>
      <c r="BT20" s="26"/>
      <c r="BU20" s="16"/>
      <c r="BV20" s="16"/>
      <c r="BW20" s="16"/>
    </row>
    <row r="21" spans="1:75" ht="15.75" hidden="1" customHeight="1">
      <c r="A21" s="40"/>
      <c r="B21" s="497">
        <v>31750</v>
      </c>
      <c r="C21" s="497">
        <f t="shared" ref="C21:D21" si="73">B22</f>
        <v>32670</v>
      </c>
      <c r="D21" s="509">
        <f t="shared" si="73"/>
        <v>33590</v>
      </c>
      <c r="E21" s="223">
        <v>33590</v>
      </c>
      <c r="F21" s="40"/>
      <c r="G21" s="556">
        <v>44652</v>
      </c>
      <c r="H21" s="1"/>
      <c r="I21" s="40"/>
      <c r="J21" s="512">
        <v>45139</v>
      </c>
      <c r="K21" s="497">
        <f t="shared" si="68"/>
        <v>65360</v>
      </c>
      <c r="L21" s="40"/>
      <c r="M21" s="513">
        <f t="shared" si="50"/>
        <v>45108</v>
      </c>
      <c r="N21" s="514" t="str">
        <f t="shared" si="51"/>
        <v/>
      </c>
      <c r="O21" s="515">
        <f t="shared" si="52"/>
        <v>65360</v>
      </c>
      <c r="P21" s="514" t="str">
        <f t="shared" si="5"/>
        <v/>
      </c>
      <c r="Q21" s="515">
        <f t="shared" si="6"/>
        <v>63660</v>
      </c>
      <c r="R21" s="515">
        <f t="shared" si="7"/>
        <v>63660</v>
      </c>
      <c r="S21" s="40"/>
      <c r="T21" s="1"/>
      <c r="U21" s="1"/>
      <c r="V21" s="1"/>
      <c r="W21" s="1"/>
      <c r="X21" s="1"/>
      <c r="Y21" s="3"/>
      <c r="Z21" s="40"/>
      <c r="AA21" s="513">
        <f t="shared" si="53"/>
        <v>45108</v>
      </c>
      <c r="AB21" s="545">
        <f t="shared" si="29"/>
        <v>2317</v>
      </c>
      <c r="AC21" s="545">
        <f t="shared" si="30"/>
        <v>232</v>
      </c>
      <c r="AD21" s="545">
        <f t="shared" si="31"/>
        <v>2085</v>
      </c>
      <c r="AE21" s="40"/>
      <c r="AF21" s="545">
        <f t="shared" si="54"/>
        <v>2317</v>
      </c>
      <c r="AG21" s="545">
        <f t="shared" si="55"/>
        <v>231</v>
      </c>
      <c r="AH21" s="545">
        <f t="shared" si="56"/>
        <v>2086</v>
      </c>
      <c r="AI21" s="40"/>
      <c r="AJ21" s="1"/>
      <c r="AK21" s="561"/>
      <c r="AL21" s="521"/>
      <c r="AM21" s="40"/>
      <c r="AN21" s="270" t="str">
        <f>'ANNEXURE II'!D41</f>
        <v>E.W.F &amp; S.W.F &amp; CMRF            U/s 80(G)</v>
      </c>
      <c r="AO21" s="522">
        <f>'ANNEXURE I'!V25</f>
        <v>2310</v>
      </c>
      <c r="AP21" s="4"/>
      <c r="AQ21" s="562" t="s">
        <v>264</v>
      </c>
      <c r="AR21" s="563">
        <f>AO16</f>
        <v>150720</v>
      </c>
      <c r="AS21" s="564"/>
      <c r="AT21" s="522">
        <f>AO21</f>
        <v>2310</v>
      </c>
      <c r="AU21" s="523">
        <f>IF(KEY!$AY$29="NEW",0,AT21)</f>
        <v>0</v>
      </c>
      <c r="AV21" s="40"/>
      <c r="AW21" s="1"/>
      <c r="AX21" s="502" t="s">
        <v>505</v>
      </c>
      <c r="AY21" s="503">
        <v>0.05</v>
      </c>
      <c r="AZ21" s="504">
        <v>0</v>
      </c>
      <c r="BA21" s="504" t="s">
        <v>40</v>
      </c>
      <c r="BB21" s="505">
        <f>MAX(0,IF(AND(BB20&lt;=500000),0,  IF(AND(BB20&gt;500000,AND(BB20&lt;=1000000)),ROUND((BB20-1000000)*20%,0),IF(AND(BB20&gt;1000000),ROUND(100000+(BB20-1000000)*30%,0),0))))</f>
        <v>0</v>
      </c>
      <c r="BC21" s="506"/>
      <c r="BD21" s="502" t="str">
        <f t="shared" ref="BD21:BH21" si="74">BD12</f>
        <v>Rs.  300001 - Rs.  700000</v>
      </c>
      <c r="BE21" s="503">
        <f t="shared" si="74"/>
        <v>0.05</v>
      </c>
      <c r="BF21" s="504">
        <f t="shared" si="74"/>
        <v>400000</v>
      </c>
      <c r="BG21" s="504">
        <f t="shared" si="74"/>
        <v>20000</v>
      </c>
      <c r="BH21" s="505">
        <f t="shared" si="74"/>
        <v>0</v>
      </c>
      <c r="BI21" s="506"/>
      <c r="BJ21" s="502" t="str">
        <f>IF(KEY!$BA$8&lt;=KEY!$BG$8,AX21,BD21)</f>
        <v>Rs.  300001 - Rs.  700000</v>
      </c>
      <c r="BK21" s="503">
        <f>IF(KEY!$BA$8&lt;=KEY!$BG$8,AY21,BE21)</f>
        <v>0.05</v>
      </c>
      <c r="BL21" s="504">
        <f>IF(KEY!$BA$8&lt;=KEY!$BG$8,AZ21,BF21)</f>
        <v>400000</v>
      </c>
      <c r="BM21" s="504">
        <f>IF(KEY!$BA$8&lt;=KEY!$BG$8,BA21,BG21)</f>
        <v>20000</v>
      </c>
      <c r="BN21" s="505">
        <f>IF(KEY!$BA$8&lt;=KEY!$BG$8,BB21,BH21)</f>
        <v>0</v>
      </c>
      <c r="BO21" s="506"/>
      <c r="BP21" s="16"/>
      <c r="BQ21" s="524" t="s">
        <v>544</v>
      </c>
      <c r="BR21" s="565">
        <f>BR7</f>
        <v>30723</v>
      </c>
      <c r="BS21" s="16"/>
      <c r="BT21" s="26"/>
      <c r="BU21" s="16"/>
      <c r="BV21" s="16"/>
      <c r="BW21" s="16"/>
    </row>
    <row r="22" spans="1:75" ht="15.75" hidden="1" customHeight="1">
      <c r="A22" s="40"/>
      <c r="B22" s="497">
        <v>32670</v>
      </c>
      <c r="C22" s="497">
        <f t="shared" ref="C22:D22" si="75">B23</f>
        <v>33590</v>
      </c>
      <c r="D22" s="509">
        <f t="shared" si="75"/>
        <v>34580</v>
      </c>
      <c r="E22" s="223">
        <v>34580</v>
      </c>
      <c r="F22" s="40"/>
      <c r="G22" s="556">
        <v>44682</v>
      </c>
      <c r="H22" s="1"/>
      <c r="I22" s="40"/>
      <c r="J22" s="512">
        <v>45108</v>
      </c>
      <c r="K22" s="497">
        <f t="shared" si="68"/>
        <v>65360</v>
      </c>
      <c r="L22" s="40"/>
      <c r="M22" s="513">
        <f t="shared" si="50"/>
        <v>45139</v>
      </c>
      <c r="N22" s="514" t="str">
        <f t="shared" si="51"/>
        <v/>
      </c>
      <c r="O22" s="515">
        <f t="shared" si="52"/>
        <v>65360</v>
      </c>
      <c r="P22" s="514" t="str">
        <f t="shared" si="5"/>
        <v/>
      </c>
      <c r="Q22" s="515">
        <f t="shared" si="6"/>
        <v>63660</v>
      </c>
      <c r="R22" s="515">
        <f t="shared" si="7"/>
        <v>63660</v>
      </c>
      <c r="S22" s="40"/>
      <c r="T22" s="1"/>
      <c r="U22" s="1"/>
      <c r="V22" s="1"/>
      <c r="W22" s="1"/>
      <c r="X22" s="1"/>
      <c r="Y22" s="3"/>
      <c r="Z22" s="40"/>
      <c r="AA22" s="513">
        <f t="shared" si="53"/>
        <v>45139</v>
      </c>
      <c r="AB22" s="545">
        <f t="shared" si="29"/>
        <v>2317</v>
      </c>
      <c r="AC22" s="545">
        <f t="shared" si="30"/>
        <v>232</v>
      </c>
      <c r="AD22" s="545">
        <f t="shared" si="31"/>
        <v>2085</v>
      </c>
      <c r="AE22" s="40"/>
      <c r="AF22" s="545">
        <f t="shared" si="54"/>
        <v>2317</v>
      </c>
      <c r="AG22" s="545">
        <f t="shared" si="55"/>
        <v>231</v>
      </c>
      <c r="AH22" s="545">
        <f t="shared" si="56"/>
        <v>2086</v>
      </c>
      <c r="AI22" s="40"/>
      <c r="AJ22" s="1"/>
      <c r="AK22" s="4"/>
      <c r="AL22" s="495" t="s">
        <v>545</v>
      </c>
      <c r="AM22" s="40"/>
      <c r="AN22" s="270" t="str">
        <f>DATA!G32</f>
        <v xml:space="preserve">Interest on Housing Loan Advance U/s 24B  </v>
      </c>
      <c r="AO22" s="522">
        <f>DATA!J32</f>
        <v>0</v>
      </c>
      <c r="AP22" s="561"/>
      <c r="AQ22" s="562" t="s">
        <v>546</v>
      </c>
      <c r="AR22" s="563">
        <f>AO3</f>
        <v>120000</v>
      </c>
      <c r="AS22" s="566" t="s">
        <v>198</v>
      </c>
      <c r="AT22" s="522">
        <f>IF(DATA!G32=$AL$26,MIN(150000,AO22),IF(DATA!G32=$AL$23,MIN(200000,AO22),IF(DATA!G32=$AL$24,(AO22),IF(DATA!G32=$AL$27,MIN(10000,AO22),MIN(50000,AO22)))))</f>
        <v>0</v>
      </c>
      <c r="AU22" s="523">
        <f>IF(KEY!$AY$29="NEW",0,AT22)</f>
        <v>0</v>
      </c>
      <c r="AV22" s="40"/>
      <c r="AW22" s="1"/>
      <c r="AX22" s="502" t="s">
        <v>40</v>
      </c>
      <c r="AY22" s="503">
        <v>0.2</v>
      </c>
      <c r="AZ22" s="504">
        <f>MIN(MAX(KEY!$BR$11-(AZ20),0),500000)</f>
        <v>448430</v>
      </c>
      <c r="BA22" s="504">
        <f t="shared" ref="BA22:BA23" si="76">ROUND(AZ22*AY22,0)</f>
        <v>89686</v>
      </c>
      <c r="BB22" s="505">
        <f>IF(AND(BB20&gt;5000000,BB20&lt;=10000000),ROUND(BB21*10%,0),IF(AND(BB20&gt;10000000,BB20&lt;=20000000),ROUND(BB21*15%,0),IF(AND(BB20&gt;20000000,BB20&lt;=50000000),ROUND(BB21*25%,0),IF(AND(BB20&gt;5000000),ROUND(BB21*37%,0),0))))</f>
        <v>0</v>
      </c>
      <c r="BC22" s="506"/>
      <c r="BD22" s="502" t="str">
        <f t="shared" ref="BD22:BH22" si="77">BD13</f>
        <v>Rs.  700001 - Rs. 1000000</v>
      </c>
      <c r="BE22" s="503">
        <f t="shared" si="77"/>
        <v>0.1</v>
      </c>
      <c r="BF22" s="504">
        <f t="shared" si="77"/>
        <v>300000</v>
      </c>
      <c r="BG22" s="504">
        <f t="shared" si="77"/>
        <v>30000</v>
      </c>
      <c r="BH22" s="505">
        <f t="shared" si="77"/>
        <v>0</v>
      </c>
      <c r="BI22" s="506"/>
      <c r="BJ22" s="502" t="str">
        <f>IF(KEY!$BA$8&lt;=KEY!$BG$8,AX22,BD22)</f>
        <v>Rs.  700001 - Rs. 1000000</v>
      </c>
      <c r="BK22" s="503">
        <f>IF(KEY!$BA$8&lt;=KEY!$BG$8,AY22,BE22)</f>
        <v>0.1</v>
      </c>
      <c r="BL22" s="504">
        <f>IF(KEY!$BA$8&lt;=KEY!$BG$8,AZ22,BF22)</f>
        <v>300000</v>
      </c>
      <c r="BM22" s="504">
        <f>IF(KEY!$BA$8&lt;=KEY!$BG$8,BA22,BG22)</f>
        <v>30000</v>
      </c>
      <c r="BN22" s="505">
        <f>IF(KEY!$BA$8&lt;=KEY!$BG$8,BB22,BH22)</f>
        <v>0</v>
      </c>
      <c r="BO22" s="506"/>
      <c r="BP22" s="16"/>
      <c r="BQ22" s="567" t="s">
        <v>547</v>
      </c>
      <c r="BR22" s="565">
        <v>45383</v>
      </c>
      <c r="BS22" s="130"/>
      <c r="BT22" s="488"/>
      <c r="BU22" s="130"/>
      <c r="BV22" s="16"/>
      <c r="BW22" s="130"/>
    </row>
    <row r="23" spans="1:75" ht="15.75" hidden="1" customHeight="1">
      <c r="A23" s="40"/>
      <c r="B23" s="497">
        <v>33590</v>
      </c>
      <c r="C23" s="497">
        <f t="shared" ref="C23:D23" si="78">B24</f>
        <v>34580</v>
      </c>
      <c r="D23" s="509">
        <f t="shared" si="78"/>
        <v>35570</v>
      </c>
      <c r="E23" s="223">
        <v>35570</v>
      </c>
      <c r="F23" s="40"/>
      <c r="G23" s="556">
        <v>44713</v>
      </c>
      <c r="H23" s="1"/>
      <c r="I23" s="40"/>
      <c r="J23" s="512">
        <v>45078</v>
      </c>
      <c r="K23" s="497">
        <f t="shared" si="68"/>
        <v>65360</v>
      </c>
      <c r="L23" s="40"/>
      <c r="M23" s="513">
        <f t="shared" si="50"/>
        <v>45170</v>
      </c>
      <c r="N23" s="514" t="str">
        <f t="shared" si="51"/>
        <v/>
      </c>
      <c r="O23" s="515">
        <f t="shared" si="52"/>
        <v>65360</v>
      </c>
      <c r="P23" s="514" t="str">
        <f t="shared" si="5"/>
        <v/>
      </c>
      <c r="Q23" s="515">
        <f t="shared" si="6"/>
        <v>63660</v>
      </c>
      <c r="R23" s="515">
        <f t="shared" si="7"/>
        <v>63660</v>
      </c>
      <c r="S23" s="40"/>
      <c r="T23" s="1"/>
      <c r="U23" s="1"/>
      <c r="V23" s="1"/>
      <c r="W23" s="1"/>
      <c r="X23" s="1"/>
      <c r="Y23" s="3"/>
      <c r="Z23" s="40"/>
      <c r="AA23" s="513">
        <f t="shared" si="53"/>
        <v>45170</v>
      </c>
      <c r="AB23" s="545">
        <f t="shared" si="29"/>
        <v>2317</v>
      </c>
      <c r="AC23" s="545">
        <f t="shared" si="30"/>
        <v>232</v>
      </c>
      <c r="AD23" s="545">
        <f t="shared" si="31"/>
        <v>2085</v>
      </c>
      <c r="AE23" s="40"/>
      <c r="AF23" s="545">
        <f t="shared" si="54"/>
        <v>2317</v>
      </c>
      <c r="AG23" s="545">
        <f t="shared" si="55"/>
        <v>231</v>
      </c>
      <c r="AH23" s="545">
        <f t="shared" si="56"/>
        <v>2086</v>
      </c>
      <c r="AI23" s="40"/>
      <c r="AJ23" s="1"/>
      <c r="AK23" s="4"/>
      <c r="AL23" s="568" t="s">
        <v>548</v>
      </c>
      <c r="AM23" s="40"/>
      <c r="AN23" s="270" t="str">
        <f>'ANNEXURE II'!D43</f>
        <v xml:space="preserve">Interest on Educational Loan U/s 80E  </v>
      </c>
      <c r="AO23" s="522">
        <f>DATA!J33</f>
        <v>0</v>
      </c>
      <c r="AP23" s="4"/>
      <c r="AQ23" s="562" t="s">
        <v>549</v>
      </c>
      <c r="AR23" s="563">
        <f>IF(AR21&lt;150000,0,AR21-AR22)</f>
        <v>30720</v>
      </c>
      <c r="AS23" s="566" t="s">
        <v>201</v>
      </c>
      <c r="AT23" s="522">
        <f>IF(DATA!G33=$AL$26,MIN(150000,AO23),IF(DATA!G33=$AL$23,MIN(200000,AO23),IF(DATA!G33=$AL$24,(AO23),IF(DATA!G33=$AL$27,MIN(10000,AO23),MIN(50000,AO23)))))</f>
        <v>0</v>
      </c>
      <c r="AU23" s="523">
        <f>IF(KEY!$AY$29="NEW",0,AT23)</f>
        <v>0</v>
      </c>
      <c r="AV23" s="40"/>
      <c r="AW23" s="1"/>
      <c r="AX23" s="502" t="s">
        <v>40</v>
      </c>
      <c r="AY23" s="503">
        <v>0.3</v>
      </c>
      <c r="AZ23" s="504">
        <f>MIN(MAX(KEY!$BR$11-(AZ20+AZ22),0))</f>
        <v>0</v>
      </c>
      <c r="BA23" s="504">
        <f t="shared" si="76"/>
        <v>0</v>
      </c>
      <c r="BB23" s="505" t="b">
        <f>IF(AND(AZ26&gt;5000000,AZ26&lt;=10000000),ROUND(BA26*10%,0),
IF(AND(AZ26&gt;10000000,AZ26&lt;=20000000),ROUND(BA26*15%,0),
IF(AND(AZ26&gt;20000000,AZ26&lt;=50000000),ROUND(BA26*25%,0),
IF(AND(AZ26&gt;5000000),ROUND(BA26*37%,0)))))</f>
        <v>0</v>
      </c>
      <c r="BC23" s="506"/>
      <c r="BD23" s="502" t="str">
        <f t="shared" ref="BD23:BH23" si="79">BD14</f>
        <v>Rs. 1000001 - Rs.1200000</v>
      </c>
      <c r="BE23" s="503">
        <f t="shared" si="79"/>
        <v>0.15</v>
      </c>
      <c r="BF23" s="504">
        <f t="shared" si="79"/>
        <v>80840</v>
      </c>
      <c r="BG23" s="504">
        <f t="shared" si="79"/>
        <v>12126</v>
      </c>
      <c r="BH23" s="505">
        <f t="shared" si="79"/>
        <v>0</v>
      </c>
      <c r="BI23" s="506"/>
      <c r="BJ23" s="502" t="str">
        <f>IF(KEY!$BA$8&lt;=KEY!$BG$8,AX23,BD23)</f>
        <v>Rs. 1000001 - Rs.1200000</v>
      </c>
      <c r="BK23" s="503">
        <f>IF(KEY!$BA$8&lt;=KEY!$BG$8,AY23,BE23)</f>
        <v>0.15</v>
      </c>
      <c r="BL23" s="504">
        <f>IF(KEY!$BA$8&lt;=KEY!$BG$8,AZ23,BF23)</f>
        <v>80840</v>
      </c>
      <c r="BM23" s="504">
        <f>IF(KEY!$BA$8&lt;=KEY!$BG$8,BA23,BG23)</f>
        <v>12126</v>
      </c>
      <c r="BN23" s="505">
        <f>IF(KEY!$BA$8&lt;=KEY!$BG$8,BB23,BH23)</f>
        <v>0</v>
      </c>
      <c r="BO23" s="506"/>
      <c r="BP23" s="16"/>
      <c r="BQ23" s="130"/>
      <c r="BR23" s="569"/>
      <c r="BS23" s="569"/>
      <c r="BT23" s="570"/>
      <c r="BU23" s="569"/>
      <c r="BV23" s="16"/>
      <c r="BW23" s="569"/>
    </row>
    <row r="24" spans="1:75" ht="15.75" hidden="1" customHeight="1">
      <c r="A24" s="40"/>
      <c r="B24" s="497">
        <v>34580</v>
      </c>
      <c r="C24" s="497">
        <f t="shared" ref="C24:D24" si="80">B25</f>
        <v>35570</v>
      </c>
      <c r="D24" s="509">
        <f t="shared" si="80"/>
        <v>36560</v>
      </c>
      <c r="E24" s="223">
        <v>36560</v>
      </c>
      <c r="F24" s="40"/>
      <c r="G24" s="556">
        <v>44743</v>
      </c>
      <c r="H24" s="1"/>
      <c r="I24" s="40"/>
      <c r="J24" s="512">
        <v>45047</v>
      </c>
      <c r="K24" s="497">
        <f t="shared" si="68"/>
        <v>65360</v>
      </c>
      <c r="L24" s="40"/>
      <c r="M24" s="513">
        <f t="shared" si="50"/>
        <v>45200</v>
      </c>
      <c r="N24" s="514" t="str">
        <f t="shared" si="51"/>
        <v/>
      </c>
      <c r="O24" s="515">
        <f t="shared" si="52"/>
        <v>65360</v>
      </c>
      <c r="P24" s="514" t="str">
        <f t="shared" si="5"/>
        <v/>
      </c>
      <c r="Q24" s="515">
        <f t="shared" si="6"/>
        <v>63660</v>
      </c>
      <c r="R24" s="515">
        <f t="shared" si="7"/>
        <v>63660</v>
      </c>
      <c r="S24" s="40"/>
      <c r="T24" s="1"/>
      <c r="U24" s="1"/>
      <c r="V24" s="1"/>
      <c r="W24" s="1"/>
      <c r="X24" s="1"/>
      <c r="Y24" s="3"/>
      <c r="Z24" s="40"/>
      <c r="AA24" s="513">
        <f t="shared" si="53"/>
        <v>45200</v>
      </c>
      <c r="AB24" s="545">
        <f t="shared" si="29"/>
        <v>2317</v>
      </c>
      <c r="AC24" s="545">
        <f t="shared" si="30"/>
        <v>232</v>
      </c>
      <c r="AD24" s="545">
        <f t="shared" si="31"/>
        <v>2085</v>
      </c>
      <c r="AE24" s="40"/>
      <c r="AF24" s="545">
        <f t="shared" si="54"/>
        <v>2317</v>
      </c>
      <c r="AG24" s="545">
        <f t="shared" si="55"/>
        <v>231</v>
      </c>
      <c r="AH24" s="545">
        <f t="shared" si="56"/>
        <v>2086</v>
      </c>
      <c r="AI24" s="40"/>
      <c r="AJ24" s="1"/>
      <c r="AK24" s="4"/>
      <c r="AL24" s="568" t="s">
        <v>126</v>
      </c>
      <c r="AM24" s="40"/>
      <c r="AN24" s="270" t="str">
        <f>'ANNEXURE II'!D44</f>
        <v>Deduction for DISABLED (SELF) u/s 80U</v>
      </c>
      <c r="AO24" s="522">
        <f>DATA!J30</f>
        <v>0</v>
      </c>
      <c r="AP24" s="4"/>
      <c r="AQ24" s="571" t="s">
        <v>550</v>
      </c>
      <c r="AR24" s="563">
        <f>IF(AR21&lt;150000,AR22,MAX(0,150000-AR23))</f>
        <v>119280</v>
      </c>
      <c r="AS24" s="566" t="s">
        <v>551</v>
      </c>
      <c r="AT24" s="522">
        <f>MIN(125000,AO24)</f>
        <v>0</v>
      </c>
      <c r="AU24" s="523">
        <f>IF(KEY!$AY$29="NEW",0,AT24)</f>
        <v>0</v>
      </c>
      <c r="AV24" s="40"/>
      <c r="AW24" s="1"/>
      <c r="AX24" s="502" t="s">
        <v>508</v>
      </c>
      <c r="AY24" s="503" t="s">
        <v>40</v>
      </c>
      <c r="AZ24" s="504">
        <v>0</v>
      </c>
      <c r="BA24" s="504" t="s">
        <v>40</v>
      </c>
      <c r="BB24" s="535">
        <f>MAX(0,(BA26+BB23)-(BB22+BB21)-($BR$11-BB20))</f>
        <v>0</v>
      </c>
      <c r="BC24" s="506"/>
      <c r="BD24" s="502" t="str">
        <f t="shared" ref="BD24:BH24" si="81">BD15</f>
        <v>Rs.1200001 - Rs.1500000</v>
      </c>
      <c r="BE24" s="503">
        <f t="shared" si="81"/>
        <v>0.2</v>
      </c>
      <c r="BF24" s="504">
        <f t="shared" si="81"/>
        <v>0</v>
      </c>
      <c r="BG24" s="504">
        <f t="shared" si="81"/>
        <v>0</v>
      </c>
      <c r="BH24" s="536">
        <f t="shared" si="81"/>
        <v>0</v>
      </c>
      <c r="BI24" s="506"/>
      <c r="BJ24" s="502" t="str">
        <f>IF(KEY!$BA$8&lt;=KEY!$BG$8,AX24,BD24)</f>
        <v>Rs.1200001 - Rs.1500000</v>
      </c>
      <c r="BK24" s="503">
        <f>IF(KEY!$BA$8&lt;=KEY!$BG$8,AY24,BE24)</f>
        <v>0.2</v>
      </c>
      <c r="BL24" s="504">
        <f>IF(KEY!$BA$8&lt;=KEY!$BG$8,AZ24,BF24)</f>
        <v>0</v>
      </c>
      <c r="BM24" s="504">
        <f>IF(KEY!$BA$8&lt;=KEY!$BG$8,BA24,BG24)</f>
        <v>0</v>
      </c>
      <c r="BN24" s="536">
        <f>IF(KEY!$BA$8&lt;=KEY!$BG$8,BB24,BH24)</f>
        <v>0</v>
      </c>
      <c r="BO24" s="506"/>
      <c r="BP24" s="16"/>
      <c r="BQ24" s="130"/>
      <c r="BR24" s="569"/>
      <c r="BS24" s="569"/>
      <c r="BT24" s="570"/>
      <c r="BU24" s="569"/>
      <c r="BV24" s="16"/>
      <c r="BW24" s="569"/>
    </row>
    <row r="25" spans="1:75" ht="15.75" hidden="1" customHeight="1">
      <c r="A25" s="40"/>
      <c r="B25" s="497">
        <v>35570</v>
      </c>
      <c r="C25" s="497">
        <f t="shared" ref="C25:D25" si="82">B26</f>
        <v>36560</v>
      </c>
      <c r="D25" s="509">
        <f t="shared" si="82"/>
        <v>37640</v>
      </c>
      <c r="E25" s="223">
        <v>37640</v>
      </c>
      <c r="F25" s="40"/>
      <c r="G25" s="556">
        <v>44774</v>
      </c>
      <c r="H25" s="1"/>
      <c r="I25" s="40"/>
      <c r="J25" s="512">
        <v>45017</v>
      </c>
      <c r="K25" s="497">
        <f t="shared" si="68"/>
        <v>65360</v>
      </c>
      <c r="L25" s="40"/>
      <c r="M25" s="513">
        <f t="shared" si="50"/>
        <v>45231</v>
      </c>
      <c r="N25" s="514" t="str">
        <f t="shared" si="51"/>
        <v/>
      </c>
      <c r="O25" s="515">
        <f t="shared" si="52"/>
        <v>65360</v>
      </c>
      <c r="P25" s="514" t="str">
        <f t="shared" si="5"/>
        <v/>
      </c>
      <c r="Q25" s="515">
        <f t="shared" si="6"/>
        <v>63660</v>
      </c>
      <c r="R25" s="515">
        <f t="shared" si="7"/>
        <v>63660</v>
      </c>
      <c r="S25" s="40"/>
      <c r="T25" s="1"/>
      <c r="U25" s="1"/>
      <c r="V25" s="1"/>
      <c r="W25" s="1"/>
      <c r="X25" s="1"/>
      <c r="Y25" s="3"/>
      <c r="Z25" s="40"/>
      <c r="AA25" s="513">
        <f t="shared" si="53"/>
        <v>45231</v>
      </c>
      <c r="AB25" s="545">
        <f t="shared" si="29"/>
        <v>2317</v>
      </c>
      <c r="AC25" s="545">
        <f t="shared" si="30"/>
        <v>232</v>
      </c>
      <c r="AD25" s="545">
        <f t="shared" si="31"/>
        <v>2085</v>
      </c>
      <c r="AE25" s="40"/>
      <c r="AF25" s="545">
        <f t="shared" si="54"/>
        <v>2317</v>
      </c>
      <c r="AG25" s="545">
        <f t="shared" si="55"/>
        <v>231</v>
      </c>
      <c r="AH25" s="545">
        <f t="shared" si="56"/>
        <v>2086</v>
      </c>
      <c r="AI25" s="40"/>
      <c r="AJ25" s="1"/>
      <c r="AK25" s="4"/>
      <c r="AL25" s="568" t="s">
        <v>552</v>
      </c>
      <c r="AM25" s="40"/>
      <c r="AN25" s="270" t="str">
        <f>'ANNEXURE II'!D45</f>
        <v>Medical Insurance Premiums     80D</v>
      </c>
      <c r="AO25" s="522">
        <f>DATA!J31</f>
        <v>0</v>
      </c>
      <c r="AP25" s="4"/>
      <c r="AQ25" s="562" t="s">
        <v>553</v>
      </c>
      <c r="AR25" s="563">
        <f>IF(AND(DATA!D5="CPS",DATA!J14="NO"),0,IF(AND(DATA!D5="CPS",DATA!J14="YES"),AR22-AR24+DATA!J13,IF(AND(DATA!D5="GPF",DATA!J13&gt;0),DATA!J13,AR22-AR24+DATA!J13)))</f>
        <v>720</v>
      </c>
      <c r="AS25" s="566" t="s">
        <v>554</v>
      </c>
      <c r="AT25" s="522">
        <f>MIN(50000,AO25)</f>
        <v>0</v>
      </c>
      <c r="AU25" s="523">
        <f>IF(KEY!$AY$29="NEW",0,AT25)</f>
        <v>0</v>
      </c>
      <c r="AV25" s="40"/>
      <c r="AW25" s="1"/>
      <c r="AX25" s="502" t="s">
        <v>40</v>
      </c>
      <c r="AY25" s="503" t="s">
        <v>40</v>
      </c>
      <c r="AZ25" s="504">
        <v>0</v>
      </c>
      <c r="BA25" s="504" t="s">
        <v>40</v>
      </c>
      <c r="BB25" s="537"/>
      <c r="BC25" s="506"/>
      <c r="BD25" s="502" t="str">
        <f t="shared" ref="BD25:BH25" si="83">BD16</f>
        <v>Rs.1500000 &amp;    ABOVE</v>
      </c>
      <c r="BE25" s="503">
        <f t="shared" si="83"/>
        <v>0.3</v>
      </c>
      <c r="BF25" s="504">
        <f t="shared" si="83"/>
        <v>0</v>
      </c>
      <c r="BG25" s="504">
        <f t="shared" si="83"/>
        <v>0</v>
      </c>
      <c r="BH25" s="538">
        <f t="shared" si="83"/>
        <v>0</v>
      </c>
      <c r="BI25" s="506"/>
      <c r="BJ25" s="502" t="str">
        <f>IF(KEY!$BA$8&lt;=KEY!$BG$8,AX25,BD25)</f>
        <v>Rs.1500000 &amp;    ABOVE</v>
      </c>
      <c r="BK25" s="503">
        <f>IF(KEY!$BA$8&lt;=KEY!$BG$8,AY25,BE25)</f>
        <v>0.3</v>
      </c>
      <c r="BL25" s="504">
        <f>IF(KEY!$BA$8&lt;=KEY!$BG$8,AZ25,BF25)</f>
        <v>0</v>
      </c>
      <c r="BM25" s="504">
        <f>IF(KEY!$BA$8&lt;=KEY!$BG$8,BA25,BG25)</f>
        <v>0</v>
      </c>
      <c r="BN25" s="538">
        <f>IF(KEY!$BA$8&lt;=KEY!$BG$8,BB25,BH25)</f>
        <v>0</v>
      </c>
      <c r="BO25" s="506"/>
      <c r="BP25" s="16"/>
      <c r="BQ25" s="130"/>
      <c r="BR25" s="569"/>
      <c r="BS25" s="569"/>
      <c r="BT25" s="570"/>
      <c r="BU25" s="569"/>
      <c r="BV25" s="16"/>
      <c r="BW25" s="569"/>
    </row>
    <row r="26" spans="1:75" ht="15.75" hidden="1" customHeight="1">
      <c r="A26" s="40"/>
      <c r="B26" s="497">
        <v>36560</v>
      </c>
      <c r="C26" s="497">
        <f t="shared" ref="C26:D26" si="84">B27</f>
        <v>37640</v>
      </c>
      <c r="D26" s="509">
        <f t="shared" si="84"/>
        <v>38720</v>
      </c>
      <c r="E26" s="223">
        <v>38720</v>
      </c>
      <c r="F26" s="40"/>
      <c r="G26" s="556">
        <v>44805</v>
      </c>
      <c r="H26" s="1"/>
      <c r="I26" s="40"/>
      <c r="J26" s="512">
        <v>44986</v>
      </c>
      <c r="K26" s="497">
        <f t="shared" si="68"/>
        <v>65360</v>
      </c>
      <c r="L26" s="40"/>
      <c r="M26" s="513">
        <f t="shared" si="50"/>
        <v>45261</v>
      </c>
      <c r="N26" s="514" t="str">
        <f t="shared" si="51"/>
        <v/>
      </c>
      <c r="O26" s="515">
        <f t="shared" si="52"/>
        <v>67190</v>
      </c>
      <c r="P26" s="514" t="str">
        <f t="shared" si="5"/>
        <v/>
      </c>
      <c r="Q26" s="515">
        <f t="shared" si="6"/>
        <v>65360</v>
      </c>
      <c r="R26" s="515">
        <f t="shared" si="7"/>
        <v>65360</v>
      </c>
      <c r="S26" s="40"/>
      <c r="T26" s="1"/>
      <c r="U26" s="1"/>
      <c r="V26" s="1"/>
      <c r="W26" s="1"/>
      <c r="X26" s="1"/>
      <c r="Y26" s="3"/>
      <c r="Z26" s="40"/>
      <c r="AA26" s="513">
        <f t="shared" si="53"/>
        <v>45261</v>
      </c>
      <c r="AB26" s="545">
        <f t="shared" si="29"/>
        <v>2379</v>
      </c>
      <c r="AC26" s="545">
        <f t="shared" si="30"/>
        <v>238</v>
      </c>
      <c r="AD26" s="545">
        <f t="shared" si="31"/>
        <v>2141</v>
      </c>
      <c r="AE26" s="40"/>
      <c r="AF26" s="545">
        <f t="shared" si="54"/>
        <v>2379</v>
      </c>
      <c r="AG26" s="545">
        <f t="shared" si="55"/>
        <v>238</v>
      </c>
      <c r="AH26" s="545">
        <f t="shared" si="56"/>
        <v>2141</v>
      </c>
      <c r="AI26" s="40"/>
      <c r="AJ26" s="1"/>
      <c r="AK26" s="4"/>
      <c r="AL26" s="568" t="s">
        <v>555</v>
      </c>
      <c r="AM26" s="40"/>
      <c r="AN26" s="270" t="str">
        <f>'ANNEXURE II'!D46</f>
        <v>Donations of Charitable Trust    80G</v>
      </c>
      <c r="AO26" s="522">
        <f>DATA!J34</f>
        <v>0</v>
      </c>
      <c r="AP26" s="4"/>
      <c r="AQ26" s="1"/>
      <c r="AR26" s="1"/>
      <c r="AS26" s="1"/>
      <c r="AT26" s="522">
        <f>AO26</f>
        <v>0</v>
      </c>
      <c r="AU26" s="523">
        <f>IF(KEY!$AY$29="NEW",0,AT26)</f>
        <v>0</v>
      </c>
      <c r="AV26" s="40"/>
      <c r="AW26" s="1"/>
      <c r="AX26" s="502" t="s">
        <v>40</v>
      </c>
      <c r="AY26" s="503"/>
      <c r="AZ26" s="543">
        <f t="shared" ref="AZ26:BA26" si="85">SUM(AZ20:AZ25)</f>
        <v>948430</v>
      </c>
      <c r="BA26" s="543">
        <f t="shared" si="85"/>
        <v>89686</v>
      </c>
      <c r="BB26" s="537"/>
      <c r="BC26" s="506"/>
      <c r="BD26" s="502" t="str">
        <f t="shared" ref="BD26:BG26" si="86">BD17</f>
        <v>-</v>
      </c>
      <c r="BE26" s="503">
        <f t="shared" si="86"/>
        <v>0</v>
      </c>
      <c r="BF26" s="543">
        <f t="shared" si="86"/>
        <v>1080840</v>
      </c>
      <c r="BG26" s="543">
        <f t="shared" si="86"/>
        <v>62126</v>
      </c>
      <c r="BH26" s="537"/>
      <c r="BI26" s="506"/>
      <c r="BJ26" s="502">
        <f>BJ17</f>
        <v>0</v>
      </c>
      <c r="BK26" s="503"/>
      <c r="BL26" s="543">
        <f t="shared" ref="BL26:BM26" si="87">BL17</f>
        <v>1080840</v>
      </c>
      <c r="BM26" s="543">
        <f t="shared" si="87"/>
        <v>62126</v>
      </c>
      <c r="BN26" s="537"/>
      <c r="BO26" s="506"/>
      <c r="BP26" s="16"/>
      <c r="BQ26" s="130"/>
      <c r="BR26" s="569"/>
      <c r="BS26" s="569"/>
      <c r="BT26" s="570"/>
      <c r="BU26" s="569"/>
      <c r="BV26" s="16"/>
      <c r="BW26" s="569"/>
    </row>
    <row r="27" spans="1:75" ht="15.75" hidden="1" customHeight="1">
      <c r="A27" s="40"/>
      <c r="B27" s="497">
        <v>37640</v>
      </c>
      <c r="C27" s="497">
        <f t="shared" ref="C27:D27" si="88">B28</f>
        <v>38720</v>
      </c>
      <c r="D27" s="509">
        <f t="shared" si="88"/>
        <v>39800</v>
      </c>
      <c r="E27" s="223">
        <v>39800</v>
      </c>
      <c r="F27" s="40"/>
      <c r="G27" s="556">
        <v>44835</v>
      </c>
      <c r="H27" s="1"/>
      <c r="I27" s="40"/>
      <c r="J27" s="512">
        <v>44958</v>
      </c>
      <c r="K27" s="497">
        <f t="shared" si="68"/>
        <v>65360</v>
      </c>
      <c r="L27" s="40"/>
      <c r="M27" s="513">
        <f t="shared" ref="M27:M40" si="89">INDEX($J$3:$K$16,ROWS(J3:K$16),1)</f>
        <v>45292</v>
      </c>
      <c r="N27" s="514" t="str">
        <f t="shared" ref="N27:N38" si="90">IF(VALUE($H$10)=VALUE(M27),$G$10, "")</f>
        <v/>
      </c>
      <c r="O27" s="515">
        <f t="shared" ref="O27:O40" si="91">INDEX($J$3:$K$16,ROWS(J3:K$16),2)</f>
        <v>69020</v>
      </c>
      <c r="P27" s="514" t="str">
        <f t="shared" si="5"/>
        <v/>
      </c>
      <c r="Q27" s="515">
        <f t="shared" si="6"/>
        <v>67190</v>
      </c>
      <c r="R27" s="515">
        <f t="shared" si="7"/>
        <v>67190</v>
      </c>
      <c r="S27" s="40"/>
      <c r="T27" s="1"/>
      <c r="U27" s="1"/>
      <c r="V27" s="1"/>
      <c r="W27" s="1"/>
      <c r="X27" s="1"/>
      <c r="Y27" s="3"/>
      <c r="Z27" s="40"/>
      <c r="AA27" s="513">
        <f t="shared" ref="AA27:AA39" si="92">INDEX($J$3:$K$16,ROWS(X3:Y$16),1)</f>
        <v>45292</v>
      </c>
      <c r="AB27" s="545">
        <f t="shared" si="29"/>
        <v>2446</v>
      </c>
      <c r="AC27" s="545">
        <f t="shared" si="30"/>
        <v>245</v>
      </c>
      <c r="AD27" s="545">
        <f t="shared" si="31"/>
        <v>2201</v>
      </c>
      <c r="AE27" s="40"/>
      <c r="AF27" s="545">
        <f t="shared" si="54"/>
        <v>2446</v>
      </c>
      <c r="AG27" s="545">
        <f t="shared" si="55"/>
        <v>244</v>
      </c>
      <c r="AH27" s="545">
        <f t="shared" si="56"/>
        <v>2202</v>
      </c>
      <c r="AI27" s="40"/>
      <c r="AJ27" s="1"/>
      <c r="AK27" s="4"/>
      <c r="AL27" s="482" t="s">
        <v>556</v>
      </c>
      <c r="AM27" s="40"/>
      <c r="AN27" s="270" t="str">
        <f>'ANNEXURE II'!D47</f>
        <v>Employee Health Scheme (EHS) 80D</v>
      </c>
      <c r="AO27" s="522">
        <f>'ANNEXURE I'!U25</f>
        <v>2700</v>
      </c>
      <c r="AP27" s="4"/>
      <c r="AQ27" s="1"/>
      <c r="AR27" s="1"/>
      <c r="AS27" s="1"/>
      <c r="AT27" s="522">
        <f>MIN(50000,AO27)</f>
        <v>2700</v>
      </c>
      <c r="AU27" s="523">
        <f>IF(KEY!$AY$29="NEW",0,AT27)</f>
        <v>0</v>
      </c>
      <c r="AV27" s="40"/>
      <c r="AW27" s="1"/>
      <c r="AX27" s="506"/>
      <c r="AY27" s="506"/>
      <c r="AZ27" s="506"/>
      <c r="BA27" s="506"/>
      <c r="BB27" s="506"/>
      <c r="BC27" s="506"/>
      <c r="BD27" s="546"/>
      <c r="BE27" s="506"/>
      <c r="BF27" s="506"/>
      <c r="BG27" s="506"/>
      <c r="BH27" s="506"/>
      <c r="BI27" s="506"/>
      <c r="BJ27" s="546"/>
      <c r="BK27" s="506"/>
      <c r="BL27" s="506"/>
      <c r="BM27" s="506"/>
      <c r="BN27" s="506"/>
      <c r="BO27" s="506"/>
      <c r="BP27" s="16"/>
      <c r="BQ27" s="16"/>
      <c r="BR27" s="569"/>
      <c r="BS27" s="569"/>
      <c r="BT27" s="572"/>
      <c r="BU27" s="569"/>
      <c r="BV27" s="16"/>
      <c r="BW27" s="569"/>
    </row>
    <row r="28" spans="1:75" ht="15.75" hidden="1" customHeight="1">
      <c r="A28" s="40"/>
      <c r="B28" s="497">
        <v>38720</v>
      </c>
      <c r="C28" s="497">
        <f t="shared" ref="C28:D28" si="93">B29</f>
        <v>39800</v>
      </c>
      <c r="D28" s="509">
        <f t="shared" si="93"/>
        <v>40970</v>
      </c>
      <c r="E28" s="223">
        <v>40970</v>
      </c>
      <c r="F28" s="40"/>
      <c r="G28" s="556">
        <v>44866</v>
      </c>
      <c r="H28" s="1"/>
      <c r="I28" s="40"/>
      <c r="J28" s="512">
        <v>44927</v>
      </c>
      <c r="K28" s="497">
        <f t="shared" si="68"/>
        <v>65360</v>
      </c>
      <c r="L28" s="40"/>
      <c r="M28" s="513">
        <f t="shared" si="89"/>
        <v>45323</v>
      </c>
      <c r="N28" s="514" t="str">
        <f t="shared" si="90"/>
        <v/>
      </c>
      <c r="O28" s="515">
        <f t="shared" si="91"/>
        <v>69020</v>
      </c>
      <c r="P28" s="514" t="str">
        <f t="shared" si="5"/>
        <v/>
      </c>
      <c r="Q28" s="515">
        <f t="shared" si="6"/>
        <v>67190</v>
      </c>
      <c r="R28" s="515">
        <f t="shared" si="7"/>
        <v>67190</v>
      </c>
      <c r="S28" s="40"/>
      <c r="T28" s="1"/>
      <c r="U28" s="1"/>
      <c r="V28" s="1"/>
      <c r="W28" s="1"/>
      <c r="X28" s="1"/>
      <c r="Y28" s="3"/>
      <c r="Z28" s="40"/>
      <c r="AA28" s="513">
        <f t="shared" si="92"/>
        <v>45323</v>
      </c>
      <c r="AB28" s="545">
        <f t="shared" si="29"/>
        <v>2446</v>
      </c>
      <c r="AC28" s="545">
        <f t="shared" si="30"/>
        <v>245</v>
      </c>
      <c r="AD28" s="545">
        <f t="shared" si="31"/>
        <v>2201</v>
      </c>
      <c r="AE28" s="40"/>
      <c r="AF28" s="545">
        <f t="shared" si="54"/>
        <v>2446</v>
      </c>
      <c r="AG28" s="545">
        <f t="shared" si="55"/>
        <v>244</v>
      </c>
      <c r="AH28" s="545">
        <f t="shared" si="56"/>
        <v>2202</v>
      </c>
      <c r="AI28" s="40"/>
      <c r="AJ28" s="1"/>
      <c r="AK28" s="4"/>
      <c r="AL28" s="482"/>
      <c r="AM28" s="40"/>
      <c r="AN28" s="573"/>
      <c r="AO28" s="1"/>
      <c r="AP28" s="4"/>
      <c r="AQ28" s="1"/>
      <c r="AR28" s="1"/>
      <c r="AS28" s="1"/>
      <c r="AT28" s="1"/>
      <c r="AU28" s="1"/>
      <c r="AV28" s="40"/>
      <c r="AW28" s="1"/>
      <c r="AX28" s="1014" t="s">
        <v>557</v>
      </c>
      <c r="AY28" s="875"/>
      <c r="AZ28" s="875"/>
      <c r="BA28" s="875"/>
      <c r="BB28" s="742"/>
      <c r="BC28" s="506"/>
      <c r="BD28" s="574" t="s">
        <v>558</v>
      </c>
      <c r="BE28" s="506"/>
      <c r="BF28" s="575" t="s">
        <v>559</v>
      </c>
      <c r="BG28" s="575" t="s">
        <v>560</v>
      </c>
      <c r="BH28" s="575" t="s">
        <v>561</v>
      </c>
      <c r="BI28" s="506"/>
      <c r="BJ28" s="576" t="s">
        <v>562</v>
      </c>
      <c r="BK28" s="506"/>
      <c r="BL28" s="577" t="s">
        <v>563</v>
      </c>
      <c r="BM28" s="577" t="s">
        <v>564</v>
      </c>
      <c r="BN28" s="578" t="str">
        <f>IF(DATA!I19="","OLD",DATA!I19)</f>
        <v>AUTO</v>
      </c>
      <c r="BO28" s="506"/>
      <c r="BP28" s="16"/>
      <c r="BQ28" s="16"/>
      <c r="BR28" s="569"/>
      <c r="BS28" s="569"/>
      <c r="BT28" s="572"/>
      <c r="BU28" s="569"/>
      <c r="BV28" s="16"/>
      <c r="BW28" s="569"/>
    </row>
    <row r="29" spans="1:75" ht="15.75" hidden="1" customHeight="1">
      <c r="A29" s="40"/>
      <c r="B29" s="497">
        <v>39800</v>
      </c>
      <c r="C29" s="497">
        <f t="shared" ref="C29:D29" si="94">B30</f>
        <v>40970</v>
      </c>
      <c r="D29" s="509">
        <f t="shared" si="94"/>
        <v>42140</v>
      </c>
      <c r="E29" s="223">
        <v>42140</v>
      </c>
      <c r="F29" s="40"/>
      <c r="G29" s="556">
        <v>44896</v>
      </c>
      <c r="H29" s="1"/>
      <c r="I29" s="40"/>
      <c r="J29" s="512">
        <v>44896</v>
      </c>
      <c r="K29" s="497">
        <f>IF(VALUE(H9)=VALUE(J28),LOOKUP(H5,BP_2021,BP_2020),H5)</f>
        <v>63660</v>
      </c>
      <c r="L29" s="40"/>
      <c r="M29" s="513">
        <f t="shared" si="89"/>
        <v>45352</v>
      </c>
      <c r="N29" s="514" t="str">
        <f t="shared" si="90"/>
        <v/>
      </c>
      <c r="O29" s="515">
        <f t="shared" si="91"/>
        <v>69020</v>
      </c>
      <c r="P29" s="514" t="str">
        <f t="shared" si="5"/>
        <v/>
      </c>
      <c r="Q29" s="515">
        <f t="shared" si="6"/>
        <v>67190</v>
      </c>
      <c r="R29" s="515">
        <f t="shared" si="7"/>
        <v>67190</v>
      </c>
      <c r="S29" s="40"/>
      <c r="T29" s="1"/>
      <c r="U29" s="1"/>
      <c r="V29" s="1"/>
      <c r="W29" s="1"/>
      <c r="X29" s="1"/>
      <c r="Y29" s="3"/>
      <c r="Z29" s="40"/>
      <c r="AA29" s="513">
        <f t="shared" si="92"/>
        <v>45352</v>
      </c>
      <c r="AB29" s="545">
        <f t="shared" si="29"/>
        <v>2446</v>
      </c>
      <c r="AC29" s="545">
        <f t="shared" si="30"/>
        <v>245</v>
      </c>
      <c r="AD29" s="545">
        <f t="shared" si="31"/>
        <v>2201</v>
      </c>
      <c r="AE29" s="40"/>
      <c r="AF29" s="545">
        <f t="shared" si="54"/>
        <v>2446</v>
      </c>
      <c r="AG29" s="545">
        <f t="shared" si="55"/>
        <v>244</v>
      </c>
      <c r="AH29" s="545">
        <f t="shared" si="56"/>
        <v>2202</v>
      </c>
      <c r="AI29" s="40"/>
      <c r="AJ29" s="1"/>
      <c r="AK29" s="4"/>
      <c r="AL29" s="482"/>
      <c r="AM29" s="40"/>
      <c r="AN29" s="270" t="str">
        <f>'ANNEXURE II'!C8</f>
        <v>HRA Exemption as per eligibility U/s 10(13A)</v>
      </c>
      <c r="AO29" s="522">
        <f>'ANNEXURE II'!M10</f>
        <v>0</v>
      </c>
      <c r="AP29" s="4"/>
      <c r="AQ29" s="1"/>
      <c r="AR29" s="1"/>
      <c r="AS29" s="1"/>
      <c r="AT29" s="522">
        <f t="shared" ref="AT29:AT31" si="95">AO29</f>
        <v>0</v>
      </c>
      <c r="AU29" s="523">
        <f>IF(KEY!$AY$29="NEW",0,AT29)</f>
        <v>0</v>
      </c>
      <c r="AV29" s="40"/>
      <c r="AW29" s="1"/>
      <c r="AX29" s="579" t="str">
        <f>IF(AND(AGE&lt;=60,DATA!$I$19="OLD"),AX1,IF(AND(AGE&lt;=60,DATA!$I$19="NEW"),BD1,IF(AND(AGE&lt;=60,DATA!$I$19="AUTO"),BJ1,
IF(AND(AGE&gt;60,AGE&lt;=80,DATA!$I$19="OLD"),AX10,IF(AND(AGE&gt;60,AGE&lt;=80,DATA!$I$19="NEW"),BD10,IF(AND(AGE&gt;60,AGE&lt;=80,DATA!$I$19="AUTO"),KEY!BJ10,IF(AND(AGE&gt;80,DATA!$I$19="OLD"),AX19,IF(AND(AGE&gt;80,DATA!$I$19="NEW"),BD19,IF(AND(AGE&gt;80,DATA!$I$19="AUTO"),BJ19,AX1)))))))))</f>
        <v>AUTOMATIC</v>
      </c>
      <c r="AY29" s="580" t="str">
        <f>IF(DATA!I19="",BEST,IF(DATA!I19="AUTO",BEST,DATA!I19))</f>
        <v>NEW</v>
      </c>
      <c r="AZ29" s="1012" t="str">
        <f>IF(AGE&lt;=60,AZ1,IF(AGE&gt;80,AZ19,IF(AND(AGE&gt;60,AGE&lt;=80),AZ10,AZ1)))</f>
        <v xml:space="preserve">AGE &lt;=60 </v>
      </c>
      <c r="BA29" s="1013"/>
      <c r="BB29" s="581" t="s">
        <v>469</v>
      </c>
      <c r="BC29" s="506"/>
      <c r="BD29" s="582" t="s">
        <v>565</v>
      </c>
      <c r="BE29" s="506"/>
      <c r="BF29" s="583">
        <f t="shared" ref="BF29:BH29" si="96">$BR$11</f>
        <v>948430</v>
      </c>
      <c r="BG29" s="583">
        <f t="shared" si="96"/>
        <v>948430</v>
      </c>
      <c r="BH29" s="583">
        <f t="shared" si="96"/>
        <v>948430</v>
      </c>
      <c r="BI29" s="506"/>
      <c r="BJ29" s="583">
        <f>IF(DATA!$I$19="OLD",BL29,IF(DATA!$I$19="NEW",BM29,IF(DATA!$I$19="AUTO",MIN(BL29,BM29))))</f>
        <v>948430</v>
      </c>
      <c r="BK29" s="506"/>
      <c r="BL29" s="583">
        <f t="shared" ref="BL29:BL36" si="97">IF(AGE&lt;=60,BF29,IF(AND(AGE&gt;60,AGE&lt;=80),BG29,IF(AGE&gt;80,BH29,BF29)))</f>
        <v>948430</v>
      </c>
      <c r="BM29" s="583">
        <f>BR10</f>
        <v>1080840</v>
      </c>
      <c r="BN29" s="584" t="s">
        <v>566</v>
      </c>
      <c r="BO29" s="506"/>
      <c r="BP29" s="16"/>
      <c r="BQ29" s="16"/>
      <c r="BR29" s="585"/>
      <c r="BS29" s="585"/>
      <c r="BT29" s="572"/>
      <c r="BU29" s="569"/>
      <c r="BV29" s="16"/>
      <c r="BW29" s="569"/>
    </row>
    <row r="30" spans="1:75" ht="15.75" hidden="1" customHeight="1">
      <c r="A30" s="40"/>
      <c r="B30" s="497">
        <v>40970</v>
      </c>
      <c r="C30" s="497">
        <f t="shared" ref="C30:D30" si="98">B31</f>
        <v>42140</v>
      </c>
      <c r="D30" s="509">
        <f t="shared" si="98"/>
        <v>43310</v>
      </c>
      <c r="E30" s="223">
        <v>43310</v>
      </c>
      <c r="F30" s="40"/>
      <c r="G30" s="556" t="s">
        <v>33</v>
      </c>
      <c r="H30" s="1"/>
      <c r="I30" s="40"/>
      <c r="J30" s="512">
        <v>44866</v>
      </c>
      <c r="K30" s="497">
        <f t="shared" ref="K30:K40" si="99">IF(VALUE($H$8)&gt;VALUE(J30),LOOKUP($H$5,BP_2021,BP_2020),K29)</f>
        <v>61960</v>
      </c>
      <c r="L30" s="40"/>
      <c r="M30" s="513">
        <f t="shared" si="89"/>
        <v>45383</v>
      </c>
      <c r="N30" s="514" t="str">
        <f t="shared" si="90"/>
        <v/>
      </c>
      <c r="O30" s="515">
        <f t="shared" si="91"/>
        <v>69020</v>
      </c>
      <c r="P30" s="514" t="str">
        <f t="shared" si="5"/>
        <v/>
      </c>
      <c r="Q30" s="515">
        <f t="shared" si="6"/>
        <v>67190</v>
      </c>
      <c r="R30" s="515">
        <f t="shared" si="7"/>
        <v>67190</v>
      </c>
      <c r="S30" s="40"/>
      <c r="T30" s="1"/>
      <c r="U30" s="1"/>
      <c r="V30" s="1"/>
      <c r="W30" s="1"/>
      <c r="X30" s="1"/>
      <c r="Y30" s="3"/>
      <c r="Z30" s="40"/>
      <c r="AA30" s="513">
        <f t="shared" si="92"/>
        <v>45383</v>
      </c>
      <c r="AB30" s="545">
        <f t="shared" si="29"/>
        <v>0</v>
      </c>
      <c r="AC30" s="545">
        <f t="shared" si="30"/>
        <v>0</v>
      </c>
      <c r="AD30" s="545">
        <f t="shared" si="31"/>
        <v>0</v>
      </c>
      <c r="AE30" s="40"/>
      <c r="AF30" s="545">
        <f t="shared" si="54"/>
        <v>2446</v>
      </c>
      <c r="AG30" s="545">
        <f t="shared" si="55"/>
        <v>244</v>
      </c>
      <c r="AH30" s="545">
        <f t="shared" si="56"/>
        <v>2202</v>
      </c>
      <c r="AI30" s="40"/>
      <c r="AJ30" s="1"/>
      <c r="AK30" s="4"/>
      <c r="AL30" s="482"/>
      <c r="AM30" s="40"/>
      <c r="AN30" s="270" t="str">
        <f>'ANNEXURE II'!D14</f>
        <v>Conveyance  Allowance U/s 10(14)(i)</v>
      </c>
      <c r="AO30" s="522">
        <f>'ANNEXURE I'!I25+'ANNEXURE I'!J25+'ANNEXURE I'!N25</f>
        <v>0</v>
      </c>
      <c r="AP30" s="4"/>
      <c r="AQ30" s="1"/>
      <c r="AR30" s="1"/>
      <c r="AS30" s="1"/>
      <c r="AT30" s="522">
        <f t="shared" si="95"/>
        <v>0</v>
      </c>
      <c r="AU30" s="523">
        <f>IF(KEY!$AY$29="NEW",0,AT30)</f>
        <v>0</v>
      </c>
      <c r="AV30" s="40"/>
      <c r="AW30" s="1"/>
      <c r="AX30" s="502" t="str">
        <f>IF(AND(AGE&lt;=60,DATA!$I$19="OLD"),AX2,IF(AND(AGE&lt;=60,DATA!$I$19="NEW"),BD2,IF(AND(AGE&lt;=60,DATA!$I$19="AUTO"),BJ2,
IF(AND(AGE&gt;60,AGE&lt;=80,DATA!$I$19="OLD"),AX11,IF(AND(AGE&gt;60,AGE&lt;=80,DATA!$I$19="NEW"),BD11,IF(AND(AGE&gt;60,AGE&lt;=80,DATA!$I$19="AUTO"),KEY!BJ11,IF(AND(AGE&gt;80,DATA!$I$19="OLD"),AX20,IF(AND(AGE&gt;80,DATA!$I$19="NEW"),BD20,IF(AND(AGE&gt;80,DATA!$I$19="AUTO"),BJ20,AX2)))))))))</f>
        <v>Rs.  000000 - Rs.  300000</v>
      </c>
      <c r="AY30" s="503">
        <f>IF(AND(AGE&lt;=60,DATA!$I$19="OLD"),AY2,IF(AND(AGE&lt;=60,DATA!$I$19="NEW"),BE2,IF(AND(AGE&lt;=60,DATA!$I$19="AUTO"),BK2,
IF(AND(AGE&gt;60,AGE&lt;=80,DATA!$I$19="OLD"),AY11,IF(AND(AGE&gt;60,AGE&lt;=80,DATA!$I$19="NEW"),BE11,IF(AND(AGE&gt;60,AGE&lt;=80,DATA!$I$19="AUTO"),BK11,
IF(AND(AGE&gt;80,DATA!$I$19="OLD"),AY20,IF(AND(AGE&gt;80,DATA!$I$19="NEW"),BE20,IF(AND(AGE&gt;80,DATA!$I$19="AUTO"),BK20,AY2)))))))))</f>
        <v>0</v>
      </c>
      <c r="AZ30" s="504">
        <f>IF(AND(AGE&lt;=60,DATA!$I$19="OLD"),AZ2,IF(AND(AGE&lt;=60,DATA!$I$19="NEW"),BF2,IF(AND(AGE&lt;=60,DATA!$I$19="AUTO"),BL2,
IF(AND(AGE&gt;60,AGE&lt;=80,DATA!$I$19="OLD"),AZ11,IF(AND(AGE&gt;60,AGE&lt;=80,DATA!$I$19="NEW"),BF11,IF(AND(AGE&gt;60,AGE&lt;=80,DATA!$I$19="AUTO"),BL11,
IF(AND(AGE&gt;80,DATA!$I$19="OLD"),AZ20,IF(AND(AGE&gt;80,DATA!$I$19="NEW"),BF20,IF(AND(AGE&gt;80,DATA!$I$19="AUTO"),BL20,AZ2)))))))))</f>
        <v>300000</v>
      </c>
      <c r="BA30" s="504">
        <f>IF(AND(AGE&lt;=60,DATA!$I$19="OLD"),BA2,IF(AND(AGE&lt;=60,DATA!$I$19="NEW"),BG2,IF(AND(AGE&lt;=60,DATA!$I$19="AUTO"),BG2,
IF(AND(AGE&gt;60,AGE&lt;=80,DATA!$I$19="OLD"),BA11,IF(AND(AGE&gt;60,AGE&lt;=80,DATA!$I$19="NEW"),BG11,IF(AND(AGE&gt;60,AGE&lt;=80,DATA!$I$19="AUTO"),KEY!BM11,IF(AND(AGE&gt;80,DATA!$I$19="OLD"),BA20,IF(AND(AGE&gt;80,DATA!$I$19="NEW"),BG20,IF(AND(AGE&gt;80,DATA!$I$19="AUTO"),BM20,BA2)))))))))</f>
        <v>0</v>
      </c>
      <c r="BB30" s="505">
        <f>IF(AND(AGE&lt;=60,DATA!$I$19="OLD"),BB2,IF(AND(AGE&lt;=60,DATA!$I$19="NEW"),BH2,IF(AND(AGE&lt;=60,DATA!$I$19="AUTO"),BN2,
   IF(AND(AGE&gt;60,AGE&lt;=80,DATA!$I$19="OLD"),BB11,IF(AND(AGE&gt;60,AGE&lt;=80,DATA!$I$19="NEW"),BH11,
   IF(AND(AGE&gt;60,AGE&lt;=80,DATA!$I$19="AUTO"),BN11,
   IF(AND(AGE&gt;80,DATA!$I$19="OLD"),BB20,IF(AND(AGE&gt;80,DATA!$I$19="NEW"),BH20,IF(AND(AGE&gt;80,DATA!$I$19="AUTO"),BN20,BB2)))))))))</f>
        <v>0</v>
      </c>
      <c r="BC30" s="506"/>
      <c r="BD30" s="586" t="s">
        <v>22</v>
      </c>
      <c r="BE30" s="506"/>
      <c r="BF30" s="587">
        <f>BA8</f>
        <v>102186</v>
      </c>
      <c r="BG30" s="587">
        <f>BA17</f>
        <v>99686</v>
      </c>
      <c r="BH30" s="587">
        <f>BA26</f>
        <v>89686</v>
      </c>
      <c r="BI30" s="506"/>
      <c r="BJ30" s="583">
        <f>IF('ANNEXURE I'!$B$2="OLD",BL30,BM30)</f>
        <v>62126</v>
      </c>
      <c r="BK30" s="506"/>
      <c r="BL30" s="583">
        <f t="shared" si="97"/>
        <v>102186</v>
      </c>
      <c r="BM30" s="587">
        <f>BG8</f>
        <v>62126</v>
      </c>
      <c r="BN30" s="506"/>
      <c r="BO30" s="506"/>
      <c r="BP30" s="16"/>
      <c r="BQ30" s="16"/>
      <c r="BR30" s="16"/>
      <c r="BS30" s="16"/>
      <c r="BT30" s="26"/>
      <c r="BU30" s="16"/>
      <c r="BV30" s="16"/>
      <c r="BW30" s="588"/>
    </row>
    <row r="31" spans="1:75" ht="15.75" hidden="1" customHeight="1">
      <c r="A31" s="40"/>
      <c r="B31" s="497">
        <v>42140</v>
      </c>
      <c r="C31" s="497">
        <f t="shared" ref="C31:D31" si="100">B32</f>
        <v>43310</v>
      </c>
      <c r="D31" s="509">
        <f t="shared" si="100"/>
        <v>44570</v>
      </c>
      <c r="E31" s="223">
        <v>44570</v>
      </c>
      <c r="F31" s="40"/>
      <c r="G31" s="556">
        <v>44927</v>
      </c>
      <c r="H31" s="1"/>
      <c r="I31" s="40"/>
      <c r="J31" s="512">
        <v>44835</v>
      </c>
      <c r="K31" s="497">
        <f t="shared" si="99"/>
        <v>61960</v>
      </c>
      <c r="L31" s="40"/>
      <c r="M31" s="513">
        <f t="shared" si="89"/>
        <v>45413</v>
      </c>
      <c r="N31" s="514" t="str">
        <f t="shared" si="90"/>
        <v/>
      </c>
      <c r="O31" s="515">
        <f t="shared" si="91"/>
        <v>69020</v>
      </c>
      <c r="P31" s="514" t="str">
        <f t="shared" si="5"/>
        <v/>
      </c>
      <c r="Q31" s="515">
        <f t="shared" si="6"/>
        <v>67190</v>
      </c>
      <c r="R31" s="515">
        <f t="shared" si="7"/>
        <v>67190</v>
      </c>
      <c r="S31" s="40"/>
      <c r="T31" s="1"/>
      <c r="U31" s="1"/>
      <c r="V31" s="1"/>
      <c r="W31" s="1"/>
      <c r="X31" s="1"/>
      <c r="Y31" s="3"/>
      <c r="Z31" s="40"/>
      <c r="AA31" s="513">
        <f t="shared" si="92"/>
        <v>45413</v>
      </c>
      <c r="AB31" s="545">
        <f t="shared" si="29"/>
        <v>0</v>
      </c>
      <c r="AC31" s="545">
        <f t="shared" si="30"/>
        <v>0</v>
      </c>
      <c r="AD31" s="545">
        <f t="shared" si="31"/>
        <v>0</v>
      </c>
      <c r="AE31" s="40"/>
      <c r="AF31" s="545">
        <f t="shared" si="54"/>
        <v>2446</v>
      </c>
      <c r="AG31" s="545">
        <f t="shared" si="55"/>
        <v>244</v>
      </c>
      <c r="AH31" s="545">
        <f t="shared" si="56"/>
        <v>2202</v>
      </c>
      <c r="AI31" s="40"/>
      <c r="AJ31" s="1"/>
      <c r="AK31" s="4"/>
      <c r="AL31" s="482"/>
      <c r="AM31" s="40"/>
      <c r="AN31" s="270" t="str">
        <f>'ANNEXURE II'!D15 &amp; " For Old Regime"</f>
        <v>Standard Deduction U/s 16(ia) For Old Regime</v>
      </c>
      <c r="AO31" s="522">
        <f>MAX(0,MIN(50000,KEY!BR4))</f>
        <v>50000</v>
      </c>
      <c r="AP31" s="4"/>
      <c r="AQ31" s="1"/>
      <c r="AR31" s="1"/>
      <c r="AS31" s="1"/>
      <c r="AT31" s="522">
        <f t="shared" si="95"/>
        <v>50000</v>
      </c>
      <c r="AU31" s="523">
        <v>50000</v>
      </c>
      <c r="AV31" s="40"/>
      <c r="AW31" s="1"/>
      <c r="AX31" s="502" t="str">
        <f>IF(AND(AGE&lt;=60,DATA!$I$19="OLD"),AX3,IF(AND(AGE&lt;=60,DATA!$I$19="NEW"),BD3,IF(AND(AGE&lt;=60,DATA!$I$19="AUTO"),BJ3,
IF(AND(AGE&gt;60,AGE&lt;=80,DATA!$I$19="OLD"),AX12,IF(AND(AGE&gt;60,AGE&lt;=80,DATA!$I$19="NEW"),BD12,IF(AND(AGE&gt;60,AGE&lt;=80,DATA!$I$19="AUTO"),KEY!BJ12,IF(AND(AGE&gt;80,DATA!$I$19="OLD"),AX21,IF(AND(AGE&gt;80,DATA!$I$19="NEW"),BD21,IF(AND(AGE&gt;80,DATA!$I$19="AUTO"),BJ21,AX3)))))))))</f>
        <v>Rs.  300001 - Rs.  700000</v>
      </c>
      <c r="AY31" s="503">
        <f>IF(AND(AGE&lt;=60,DATA!$I$19="OLD"),AY3,IF(AND(AGE&lt;=60,DATA!$I$19="NEW"),BE3,IF(AND(AGE&lt;=60,DATA!$I$19="AUTO"),BK3,
IF(AND(AGE&gt;60,AGE&lt;=80,DATA!$I$19="OLD"),AY12,IF(AND(AGE&gt;60,AGE&lt;=80,DATA!$I$19="NEW"),BE12,IF(AND(AGE&gt;60,AGE&lt;=80,DATA!$I$19="AUTO"),BK12,
IF(AND(AGE&gt;80,DATA!$I$19="OLD"),AY21,IF(AND(AGE&gt;80,DATA!$I$19="NEW"),BE21,IF(AND(AGE&gt;80,DATA!$I$19="AUTO"),BK21,AY3)))))))))</f>
        <v>0.05</v>
      </c>
      <c r="AZ31" s="504">
        <f>IF(AND(AGE&lt;=60,DATA!$I$19="OLD"),AZ3,IF(AND(AGE&lt;=60,DATA!$I$19="NEW"),BF3,IF(AND(AGE&lt;=60,DATA!$I$19="AUTO"),BL3,
IF(AND(AGE&gt;60,AGE&lt;=80,DATA!$I$19="OLD"),AZ12,IF(AND(AGE&gt;60,AGE&lt;=80,DATA!$I$19="NEW"),BF12,IF(AND(AGE&gt;60,AGE&lt;=80,DATA!$I$19="AUTO"),BL12,
IF(AND(AGE&gt;80,DATA!$I$19="OLD"),AZ21,IF(AND(AGE&gt;80,DATA!$I$19="NEW"),BF21,IF(AND(AGE&gt;80,DATA!$I$19="AUTO"),BL21,AZ3)))))))))</f>
        <v>400000</v>
      </c>
      <c r="BA31" s="504">
        <f>IF(AND(AGE&lt;=60,DATA!$I$19="OLD"),BA3,IF(AND(AGE&lt;=60,DATA!$I$19="NEW"),BG3,IF(AND(AGE&lt;=60,DATA!$I$19="AUTO"),BG3,
IF(AND(AGE&gt;60,AGE&lt;=80,DATA!$I$19="OLD"),BA12,IF(AND(AGE&gt;60,AGE&lt;=80,DATA!$I$19="NEW"),BG12,IF(AND(AGE&gt;60,AGE&lt;=80,DATA!$I$19="AUTO"),KEY!BM12,IF(AND(AGE&gt;80,DATA!$I$19="OLD"),BA21,IF(AND(AGE&gt;80,DATA!$I$19="NEW"),BG21,IF(AND(AGE&gt;80,DATA!$I$19="AUTO"),BM21,BA3)))))))))</f>
        <v>20000</v>
      </c>
      <c r="BB31" s="505">
        <f>IF(AND(AGE&lt;=60,DATA!$I$19="OLD"),BB3,IF(AND(AGE&lt;=60,DATA!$I$19="NEW"),BH3,IF(AND(AGE&lt;=60,DATA!$I$19="AUTO"),BN3,
   IF(AND(AGE&gt;60,AGE&lt;=80,DATA!$I$19="OLD"),BB12,IF(AND(AGE&gt;60,AGE&lt;=80,DATA!$I$19="NEW"),BH12,
   IF(AND(AGE&gt;60,AGE&lt;=80,DATA!$I$19="AUTO"),BN12,
   IF(AND(AGE&gt;80,DATA!$I$19="OLD"),BB21,IF(AND(AGE&gt;80,DATA!$I$19="NEW"),BH21,IF(AND(AGE&gt;80,DATA!$I$19="AUTO"),BN21,BB3)))))))))</f>
        <v>0</v>
      </c>
      <c r="BC31" s="506"/>
      <c r="BD31" s="589" t="s">
        <v>567</v>
      </c>
      <c r="BE31" s="506"/>
      <c r="BF31" s="587">
        <f t="shared" ref="BF31:BH31" si="101">IF(BF29&lt;=500000,MIN(BF30,12500),0)</f>
        <v>0</v>
      </c>
      <c r="BG31" s="587">
        <f t="shared" si="101"/>
        <v>0</v>
      </c>
      <c r="BH31" s="587">
        <f t="shared" si="101"/>
        <v>0</v>
      </c>
      <c r="BI31" s="506"/>
      <c r="BJ31" s="583">
        <f>IF('ANNEXURE I'!$B$2="OLD",BL31,BM31)</f>
        <v>0</v>
      </c>
      <c r="BK31" s="506"/>
      <c r="BL31" s="583">
        <f t="shared" si="97"/>
        <v>0</v>
      </c>
      <c r="BM31" s="587">
        <f>IF(BM29&lt;=700000,MIN(BM30,25000),0)</f>
        <v>0</v>
      </c>
      <c r="BN31" s="546"/>
      <c r="BO31" s="506"/>
      <c r="BP31" s="16"/>
      <c r="BQ31" s="16"/>
      <c r="BR31" s="130"/>
      <c r="BS31" s="130"/>
      <c r="BT31" s="488"/>
      <c r="BU31" s="130"/>
      <c r="BV31" s="16"/>
      <c r="BW31" s="130"/>
    </row>
    <row r="32" spans="1:75" ht="15.75" hidden="1" customHeight="1">
      <c r="A32" s="40"/>
      <c r="B32" s="497">
        <v>43310</v>
      </c>
      <c r="C32" s="497">
        <f t="shared" ref="C32:D32" si="102">B33</f>
        <v>44570</v>
      </c>
      <c r="D32" s="509">
        <f t="shared" si="102"/>
        <v>45830</v>
      </c>
      <c r="E32" s="223">
        <v>45830</v>
      </c>
      <c r="F32" s="40"/>
      <c r="G32" s="556">
        <v>44958</v>
      </c>
      <c r="H32" s="1"/>
      <c r="I32" s="40"/>
      <c r="J32" s="512">
        <v>44805</v>
      </c>
      <c r="K32" s="497">
        <f t="shared" si="99"/>
        <v>61960</v>
      </c>
      <c r="L32" s="40"/>
      <c r="M32" s="513">
        <f t="shared" si="89"/>
        <v>45444</v>
      </c>
      <c r="N32" s="514" t="str">
        <f t="shared" si="90"/>
        <v/>
      </c>
      <c r="O32" s="515">
        <f t="shared" si="91"/>
        <v>69020</v>
      </c>
      <c r="P32" s="514" t="str">
        <f t="shared" si="5"/>
        <v/>
      </c>
      <c r="Q32" s="515">
        <f t="shared" si="6"/>
        <v>67190</v>
      </c>
      <c r="R32" s="515">
        <f t="shared" si="7"/>
        <v>67190</v>
      </c>
      <c r="S32" s="40"/>
      <c r="T32" s="1"/>
      <c r="U32" s="1"/>
      <c r="V32" s="1"/>
      <c r="W32" s="1"/>
      <c r="X32" s="1"/>
      <c r="Y32" s="3"/>
      <c r="Z32" s="40"/>
      <c r="AA32" s="513">
        <f t="shared" si="92"/>
        <v>45444</v>
      </c>
      <c r="AB32" s="545">
        <f t="shared" si="29"/>
        <v>0</v>
      </c>
      <c r="AC32" s="545">
        <f t="shared" si="30"/>
        <v>0</v>
      </c>
      <c r="AD32" s="545">
        <f t="shared" si="31"/>
        <v>0</v>
      </c>
      <c r="AE32" s="40"/>
      <c r="AF32" s="545">
        <f t="shared" si="54"/>
        <v>2446</v>
      </c>
      <c r="AG32" s="545">
        <f t="shared" si="55"/>
        <v>244</v>
      </c>
      <c r="AH32" s="545">
        <f t="shared" si="56"/>
        <v>2202</v>
      </c>
      <c r="AI32" s="40"/>
      <c r="AJ32" s="1"/>
      <c r="AK32" s="4"/>
      <c r="AL32" s="482"/>
      <c r="AM32" s="40"/>
      <c r="AN32" s="296" t="str">
        <f>'ANNEXURE II'!D15 &amp; " For New Regime"</f>
        <v>Standard Deduction U/s 16(ia) For New Regime</v>
      </c>
      <c r="AO32" s="590">
        <v>75000</v>
      </c>
      <c r="AP32" s="4"/>
      <c r="AQ32" s="1"/>
      <c r="AR32" s="1"/>
      <c r="AS32" s="1"/>
      <c r="AT32" s="522">
        <v>0</v>
      </c>
      <c r="AU32" s="523">
        <v>75000</v>
      </c>
      <c r="AV32" s="40"/>
      <c r="AW32" s="1"/>
      <c r="AX32" s="502" t="str">
        <f>IF(AND(AGE&lt;=60,DATA!$I$19="OLD"),AX4,IF(AND(AGE&lt;=60,DATA!$I$19="NEW"),BD4,IF(AND(AGE&lt;=60,DATA!$I$19="AUTO"),BJ4,
IF(AND(AGE&gt;60,AGE&lt;=80,DATA!$I$19="OLD"),AX13,IF(AND(AGE&gt;60,AGE&lt;=80,DATA!$I$19="NEW"),BD13,IF(AND(AGE&gt;60,AGE&lt;=80,DATA!$I$19="AUTO"),KEY!BJ13,IF(AND(AGE&gt;80,DATA!$I$19="OLD"),AX22,IF(AND(AGE&gt;80,DATA!$I$19="NEW"),BD22,IF(AND(AGE&gt;80,DATA!$I$19="AUTO"),BJ22,AX4)))))))))</f>
        <v>Rs.  700001 - Rs. 1000000</v>
      </c>
      <c r="AY32" s="503">
        <f>IF(AND(AGE&lt;=60,DATA!$I$19="OLD"),AY4,IF(AND(AGE&lt;=60,DATA!$I$19="NEW"),BE4,IF(AND(AGE&lt;=60,DATA!$I$19="AUTO"),BK4,
IF(AND(AGE&gt;60,AGE&lt;=80,DATA!$I$19="OLD"),AY13,IF(AND(AGE&gt;60,AGE&lt;=80,DATA!$I$19="NEW"),BE13,IF(AND(AGE&gt;60,AGE&lt;=80,DATA!$I$19="AUTO"),BK13,
IF(AND(AGE&gt;80,DATA!$I$19="OLD"),AY22,IF(AND(AGE&gt;80,DATA!$I$19="NEW"),BE22,IF(AND(AGE&gt;80,DATA!$I$19="AUTO"),BK22,AY4)))))))))</f>
        <v>0.1</v>
      </c>
      <c r="AZ32" s="504">
        <f>IF(AND(AGE&lt;=60,DATA!$I$19="OLD"),AZ4,IF(AND(AGE&lt;=60,DATA!$I$19="NEW"),BF4,IF(AND(AGE&lt;=60,DATA!$I$19="AUTO"),BL4,
IF(AND(AGE&gt;60,AGE&lt;=80,DATA!$I$19="OLD"),AZ13,IF(AND(AGE&gt;60,AGE&lt;=80,DATA!$I$19="NEW"),BF13,IF(AND(AGE&gt;60,AGE&lt;=80,DATA!$I$19="AUTO"),BL13,
IF(AND(AGE&gt;80,DATA!$I$19="OLD"),AZ22,IF(AND(AGE&gt;80,DATA!$I$19="NEW"),BF22,IF(AND(AGE&gt;80,DATA!$I$19="AUTO"),BL22,AZ4)))))))))</f>
        <v>300000</v>
      </c>
      <c r="BA32" s="504">
        <f>IF(AND(AGE&lt;=60,DATA!$I$19="OLD"),BA4,IF(AND(AGE&lt;=60,DATA!$I$19="NEW"),BG4,IF(AND(AGE&lt;=60,DATA!$I$19="AUTO"),BG4,
IF(AND(AGE&gt;60,AGE&lt;=80,DATA!$I$19="OLD"),BA13,IF(AND(AGE&gt;60,AGE&lt;=80,DATA!$I$19="NEW"),BG13,IF(AND(AGE&gt;60,AGE&lt;=80,DATA!$I$19="AUTO"),KEY!BM13,IF(AND(AGE&gt;80,DATA!$I$19="OLD"),BA22,IF(AND(AGE&gt;80,DATA!$I$19="NEW"),BG22,IF(AND(AGE&gt;80,DATA!$I$19="AUTO"),BM22,BA4)))))))))</f>
        <v>30000</v>
      </c>
      <c r="BB32" s="505">
        <f>IF(AND(AGE&lt;=60,DATA!$I$19="OLD"),BB4,IF(AND(AGE&lt;=60,DATA!$I$19="NEW"),BH4,IF(AND(AGE&lt;=60,DATA!$I$19="AUTO"),BN4,
   IF(AND(AGE&gt;60,AGE&lt;=80,DATA!$I$19="OLD"),BB13,IF(AND(AGE&gt;60,AGE&lt;=80,DATA!$I$19="NEW"),BH13,
   IF(AND(AGE&gt;60,AGE&lt;=80,DATA!$I$19="AUTO"),BN13,
   IF(AND(AGE&gt;80,DATA!$I$19="OLD"),BB22,IF(AND(AGE&gt;80,DATA!$I$19="NEW"),BH22,IF(AND(AGE&gt;80,DATA!$I$19="AUTO"),BN22,BB4)))))))))</f>
        <v>0</v>
      </c>
      <c r="BC32" s="506"/>
      <c r="BD32" s="586" t="s">
        <v>568</v>
      </c>
      <c r="BE32" s="506"/>
      <c r="BF32" s="587">
        <f t="shared" ref="BF32:BH32" si="103">IF(AND(BF29&gt;5000000,BF29&lt;=10000000),ROUND(BF30*10%,0),
IF(AND(BF29&gt;10000000,BF29&lt;=20000000),ROUND(BF30*15%,0),
IF(AND(BF29&gt;20000000,BF29&lt;=50000000),ROUND(BF30*25%,0),
IF(AND(BF29&gt;5000000),ROUND(BF30*37%,0),0))))</f>
        <v>0</v>
      </c>
      <c r="BG32" s="587">
        <f t="shared" si="103"/>
        <v>0</v>
      </c>
      <c r="BH32" s="587">
        <f t="shared" si="103"/>
        <v>0</v>
      </c>
      <c r="BI32" s="506"/>
      <c r="BJ32" s="583">
        <f>IF(DATA!$I$19="OLD",BL32,IF(DATA!$I$19="NEW",BM32,IF(DATA!$I$19="AUTO",MIN(BL32,BM32))))</f>
        <v>0</v>
      </c>
      <c r="BK32" s="506"/>
      <c r="BL32" s="583">
        <f t="shared" si="97"/>
        <v>0</v>
      </c>
      <c r="BM32" s="587">
        <f>IF(AND(BM29&gt;5000000,BM29&lt;=10000000),ROUND(BM30*10%,0),
IF(AND(BM29&gt;10000000,BM29&lt;=20000000),ROUND(BM30*15%,0),
IF(AND(BM29&gt;20000000),ROUND(BM30*25%,0),0)))</f>
        <v>0</v>
      </c>
      <c r="BN32" s="584" t="s">
        <v>569</v>
      </c>
      <c r="BO32" s="506"/>
      <c r="BP32" s="16"/>
      <c r="BQ32" s="16"/>
      <c r="BR32" s="238"/>
      <c r="BS32" s="238"/>
      <c r="BT32" s="591"/>
      <c r="BU32" s="238"/>
      <c r="BV32" s="16"/>
      <c r="BW32" s="592"/>
    </row>
    <row r="33" spans="1:75" ht="15.75" hidden="1" customHeight="1">
      <c r="A33" s="40"/>
      <c r="B33" s="497">
        <v>44570</v>
      </c>
      <c r="C33" s="497">
        <f t="shared" ref="C33:D33" si="104">B34</f>
        <v>45830</v>
      </c>
      <c r="D33" s="509">
        <f t="shared" si="104"/>
        <v>47090</v>
      </c>
      <c r="E33" s="223">
        <v>47090</v>
      </c>
      <c r="F33" s="40"/>
      <c r="G33" s="556">
        <v>44986</v>
      </c>
      <c r="H33" s="1"/>
      <c r="I33" s="40"/>
      <c r="J33" s="512">
        <v>44774</v>
      </c>
      <c r="K33" s="497">
        <f t="shared" si="99"/>
        <v>61960</v>
      </c>
      <c r="L33" s="40"/>
      <c r="M33" s="513">
        <f t="shared" si="89"/>
        <v>45474</v>
      </c>
      <c r="N33" s="514" t="str">
        <f t="shared" si="90"/>
        <v/>
      </c>
      <c r="O33" s="515">
        <f t="shared" si="91"/>
        <v>69020</v>
      </c>
      <c r="P33" s="514" t="str">
        <f t="shared" si="5"/>
        <v/>
      </c>
      <c r="Q33" s="515">
        <f t="shared" si="6"/>
        <v>67190</v>
      </c>
      <c r="R33" s="515">
        <f t="shared" si="7"/>
        <v>67190</v>
      </c>
      <c r="S33" s="40"/>
      <c r="T33" s="1"/>
      <c r="U33" s="1"/>
      <c r="V33" s="1"/>
      <c r="W33" s="1"/>
      <c r="X33" s="1"/>
      <c r="Y33" s="3"/>
      <c r="Z33" s="40"/>
      <c r="AA33" s="513">
        <f t="shared" si="92"/>
        <v>45474</v>
      </c>
      <c r="AB33" s="545"/>
      <c r="AC33" s="545"/>
      <c r="AD33" s="545"/>
      <c r="AE33" s="40"/>
      <c r="AF33" s="545">
        <f t="shared" si="54"/>
        <v>0</v>
      </c>
      <c r="AG33" s="545">
        <f t="shared" si="55"/>
        <v>0</v>
      </c>
      <c r="AH33" s="545">
        <f t="shared" si="56"/>
        <v>0</v>
      </c>
      <c r="AI33" s="40"/>
      <c r="AJ33" s="1"/>
      <c r="AK33" s="4"/>
      <c r="AL33" s="482"/>
      <c r="AM33" s="40"/>
      <c r="AN33" s="270" t="str">
        <f>'ANNEXURE II'!D16</f>
        <v>Profession Tax          U/s 16 (iii)</v>
      </c>
      <c r="AO33" s="522">
        <f>'ANNEXURE I'!T25</f>
        <v>2400</v>
      </c>
      <c r="AP33" s="4"/>
      <c r="AQ33" s="1"/>
      <c r="AR33" s="1"/>
      <c r="AS33" s="1"/>
      <c r="AT33" s="593">
        <f>AO33</f>
        <v>2400</v>
      </c>
      <c r="AU33" s="523">
        <f>IF(KEY!$AY$29="NEW",0,AT33)</f>
        <v>0</v>
      </c>
      <c r="AV33" s="40"/>
      <c r="AW33" s="1"/>
      <c r="AX33" s="502" t="str">
        <f>IF(AND(AGE&lt;=60,DATA!$I$19="OLD"),AX5,IF(AND(AGE&lt;=60,DATA!$I$19="NEW"),BD5,IF(AND(AGE&lt;=60,DATA!$I$19="AUTO"),BJ5,
IF(AND(AGE&gt;60,AGE&lt;=80,DATA!$I$19="OLD"),AX14,IF(AND(AGE&gt;60,AGE&lt;=80,DATA!$I$19="NEW"),BD14,IF(AND(AGE&gt;60,AGE&lt;=80,DATA!$I$19="AUTO"),KEY!BJ14,IF(AND(AGE&gt;80,DATA!$I$19="OLD"),AX23,IF(AND(AGE&gt;80,DATA!$I$19="NEW"),BD23,IF(AND(AGE&gt;80,DATA!$I$19="AUTO"),BJ23,AX5)))))))))</f>
        <v>Rs. 1000001 - Rs.1200000</v>
      </c>
      <c r="AY33" s="503">
        <f>IF(AND(AGE&lt;=60,DATA!$I$19="OLD"),AY5,IF(AND(AGE&lt;=60,DATA!$I$19="NEW"),BE5,IF(AND(AGE&lt;=60,DATA!$I$19="AUTO"),BK5,
IF(AND(AGE&gt;60,AGE&lt;=80,DATA!$I$19="OLD"),AY14,IF(AND(AGE&gt;60,AGE&lt;=80,DATA!$I$19="NEW"),BE14,IF(AND(AGE&gt;60,AGE&lt;=80,DATA!$I$19="AUTO"),BK14,
IF(AND(AGE&gt;80,DATA!$I$19="OLD"),AY23,IF(AND(AGE&gt;80,DATA!$I$19="NEW"),BE23,IF(AND(AGE&gt;80,DATA!$I$19="AUTO"),BK23,AY5)))))))))</f>
        <v>0.15</v>
      </c>
      <c r="AZ33" s="504">
        <f>IF(AND(AGE&lt;=60,DATA!$I$19="OLD"),AZ5,IF(AND(AGE&lt;=60,DATA!$I$19="NEW"),BF5,IF(AND(AGE&lt;=60,DATA!$I$19="AUTO"),BL5,
IF(AND(AGE&gt;60,AGE&lt;=80,DATA!$I$19="OLD"),AZ14,IF(AND(AGE&gt;60,AGE&lt;=80,DATA!$I$19="NEW"),BF14,IF(AND(AGE&gt;60,AGE&lt;=80,DATA!$I$19="AUTO"),BL14,
IF(AND(AGE&gt;80,DATA!$I$19="OLD"),AZ23,IF(AND(AGE&gt;80,DATA!$I$19="NEW"),BF23,IF(AND(AGE&gt;80,DATA!$I$19="AUTO"),BL23,AZ5)))))))))</f>
        <v>80840</v>
      </c>
      <c r="BA33" s="504">
        <f>IF(AND(AGE&lt;=60,DATA!$I$19="OLD"),BA5,IF(AND(AGE&lt;=60,DATA!$I$19="NEW"),BG5,IF(AND(AGE&lt;=60,DATA!$I$19="AUTO"),BG5,
IF(AND(AGE&gt;60,AGE&lt;=80,DATA!$I$19="OLD"),BA14,IF(AND(AGE&gt;60,AGE&lt;=80,DATA!$I$19="NEW"),BG14,IF(AND(AGE&gt;60,AGE&lt;=80,DATA!$I$19="AUTO"),KEY!BM14,IF(AND(AGE&gt;80,DATA!$I$19="OLD"),BA23,IF(AND(AGE&gt;80,DATA!$I$19="NEW"),BG23,IF(AND(AGE&gt;80,DATA!$I$19="AUTO"),BM23,BA5)))))))))</f>
        <v>12126</v>
      </c>
      <c r="BB33" s="505">
        <f>IF(AND(AGE&lt;=60,DATA!$I$19="OLD"),BB5,IF(AND(AGE&lt;=60,DATA!$I$19="NEW"),BH5,IF(AND(AGE&lt;=60,DATA!$I$19="AUTO"),BN5,
   IF(AND(AGE&gt;60,AGE&lt;=80,DATA!$I$19="OLD"),BB14,IF(AND(AGE&gt;60,AGE&lt;=80,DATA!$I$19="NEW"),BH14,
   IF(AND(AGE&gt;60,AGE&lt;=80,DATA!$I$19="AUTO"),BN14,
   IF(AND(AGE&gt;80,DATA!$I$19="OLD"),BB23,IF(AND(AGE&gt;80,DATA!$I$19="NEW"),BH23,IF(AND(AGE&gt;80,DATA!$I$19="AUTO"),BN23,BB5)))))))))</f>
        <v>0</v>
      </c>
      <c r="BC33" s="506"/>
      <c r="BD33" s="586" t="s">
        <v>570</v>
      </c>
      <c r="BE33" s="506"/>
      <c r="BF33" s="587">
        <f>BB6</f>
        <v>0</v>
      </c>
      <c r="BG33" s="587">
        <f>BB15</f>
        <v>0</v>
      </c>
      <c r="BH33" s="587">
        <f>BB24</f>
        <v>0</v>
      </c>
      <c r="BI33" s="506"/>
      <c r="BJ33" s="583">
        <f>IF(DATA!$I$19="OLD",BL33,IF(DATA!$I$19="NEW",BM33,IF(DATA!$I$19="AUTO",MIN(BL33,BM33))))</f>
        <v>0</v>
      </c>
      <c r="BK33" s="506"/>
      <c r="BL33" s="583">
        <f t="shared" si="97"/>
        <v>0</v>
      </c>
      <c r="BM33" s="587">
        <f>BH5</f>
        <v>0</v>
      </c>
      <c r="BN33" s="594" t="str">
        <f>AY29</f>
        <v>NEW</v>
      </c>
      <c r="BO33" s="506"/>
      <c r="BP33" s="16"/>
      <c r="BQ33" s="16"/>
      <c r="BR33" s="238"/>
      <c r="BS33" s="238"/>
      <c r="BT33" s="591"/>
      <c r="BU33" s="238"/>
      <c r="BV33" s="16"/>
      <c r="BW33" s="592"/>
    </row>
    <row r="34" spans="1:75" ht="15.75" hidden="1" customHeight="1">
      <c r="A34" s="40"/>
      <c r="B34" s="497">
        <v>45830</v>
      </c>
      <c r="C34" s="497">
        <f t="shared" ref="C34:D34" si="105">B35</f>
        <v>47090</v>
      </c>
      <c r="D34" s="509">
        <f t="shared" si="105"/>
        <v>48440</v>
      </c>
      <c r="E34" s="223">
        <v>48440</v>
      </c>
      <c r="F34" s="40"/>
      <c r="G34" s="556">
        <v>45017</v>
      </c>
      <c r="H34" s="1"/>
      <c r="I34" s="40"/>
      <c r="J34" s="512">
        <v>44743</v>
      </c>
      <c r="K34" s="497">
        <f t="shared" si="99"/>
        <v>61960</v>
      </c>
      <c r="L34" s="40"/>
      <c r="M34" s="513">
        <f t="shared" si="89"/>
        <v>45505</v>
      </c>
      <c r="N34" s="514" t="str">
        <f t="shared" si="90"/>
        <v/>
      </c>
      <c r="O34" s="515">
        <f t="shared" si="91"/>
        <v>69020</v>
      </c>
      <c r="P34" s="514" t="str">
        <f t="shared" si="5"/>
        <v/>
      </c>
      <c r="Q34" s="515">
        <f t="shared" si="6"/>
        <v>67190</v>
      </c>
      <c r="R34" s="515">
        <f t="shared" si="7"/>
        <v>67190</v>
      </c>
      <c r="S34" s="40"/>
      <c r="T34" s="1"/>
      <c r="U34" s="1"/>
      <c r="V34" s="1"/>
      <c r="W34" s="1"/>
      <c r="X34" s="1"/>
      <c r="Y34" s="3"/>
      <c r="Z34" s="40"/>
      <c r="AA34" s="513">
        <f t="shared" si="92"/>
        <v>45505</v>
      </c>
      <c r="AB34" s="545"/>
      <c r="AC34" s="545"/>
      <c r="AD34" s="545"/>
      <c r="AE34" s="40"/>
      <c r="AF34" s="545">
        <f t="shared" si="54"/>
        <v>0</v>
      </c>
      <c r="AG34" s="545">
        <f t="shared" si="55"/>
        <v>0</v>
      </c>
      <c r="AH34" s="545">
        <f t="shared" si="56"/>
        <v>0</v>
      </c>
      <c r="AI34" s="40"/>
      <c r="AJ34" s="1"/>
      <c r="AK34" s="4"/>
      <c r="AL34" s="482"/>
      <c r="AM34" s="40"/>
      <c r="AN34" s="1"/>
      <c r="AO34" s="1"/>
      <c r="AP34" s="4"/>
      <c r="AQ34" s="595" t="s">
        <v>571</v>
      </c>
      <c r="AR34" s="596"/>
      <c r="AS34" s="596"/>
      <c r="AT34" s="597">
        <f>SUM(AT18)+SUM(AT21:AT27)+SUM(AT29:AT33)</f>
        <v>207410</v>
      </c>
      <c r="AU34" s="598"/>
      <c r="AV34" s="40"/>
      <c r="AW34" s="1"/>
      <c r="AX34" s="502" t="str">
        <f>IF(AND(AGE&lt;=60,DATA!$I$19="OLD"),AX6,IF(AND(AGE&lt;=60,DATA!$I$19="NEW"),BD6,IF(AND(AGE&lt;=60,DATA!$I$19="AUTO"),BJ6,
IF(AND(AGE&gt;60,AGE&lt;=80,DATA!$I$19="OLD"),AX15,IF(AND(AGE&gt;60,AGE&lt;=80,DATA!$I$19="NEW"),BD15,IF(AND(AGE&gt;60,AGE&lt;=80,DATA!$I$19="AUTO"),KEY!BJ15,IF(AND(AGE&gt;80,DATA!$I$19="OLD"),AX24,IF(AND(AGE&gt;80,DATA!$I$19="NEW"),BD24,IF(AND(AGE&gt;80,DATA!$I$19="AUTO"),BJ24,AX6)))))))))</f>
        <v>Rs.1200001 - Rs.1500000</v>
      </c>
      <c r="AY34" s="503">
        <f>IF(AND(AGE&lt;=60,DATA!$I$19="OLD"),AY6,IF(AND(AGE&lt;=60,DATA!$I$19="NEW"),BE6,IF(AND(AGE&lt;=60,DATA!$I$19="AUTO"),BK6,
IF(AND(AGE&gt;60,AGE&lt;=80,DATA!$I$19="OLD"),AY15,IF(AND(AGE&gt;60,AGE&lt;=80,DATA!$I$19="NEW"),BE15,IF(AND(AGE&gt;60,AGE&lt;=80,DATA!$I$19="AUTO"),BK15,
IF(AND(AGE&gt;80,DATA!$I$19="OLD"),AY24,IF(AND(AGE&gt;80,DATA!$I$19="NEW"),BE24,IF(AND(AGE&gt;80,DATA!$I$19="AUTO"),BK24,AY6)))))))))</f>
        <v>0.2</v>
      </c>
      <c r="AZ34" s="504">
        <f>IF(AND(AGE&lt;=60,DATA!$I$19="OLD"),AZ6,IF(AND(AGE&lt;=60,DATA!$I$19="NEW"),BF6,IF(AND(AGE&lt;=60,DATA!$I$19="AUTO"),BL6,
IF(AND(AGE&gt;60,AGE&lt;=80,DATA!$I$19="OLD"),AZ15,IF(AND(AGE&gt;60,AGE&lt;=80,DATA!$I$19="NEW"),BF15,IF(AND(AGE&gt;60,AGE&lt;=80,DATA!$I$19="AUTO"),BL15,
IF(AND(AGE&gt;80,DATA!$I$19="OLD"),AZ24,IF(AND(AGE&gt;80,DATA!$I$19="NEW"),BF24,IF(AND(AGE&gt;80,DATA!$I$19="AUTO"),BL24,AZ6)))))))))</f>
        <v>0</v>
      </c>
      <c r="BA34" s="504">
        <f>IF(AND(AGE&lt;=60,DATA!$I$19="OLD"),BA6,IF(AND(AGE&lt;=60,DATA!$I$19="NEW"),BG6,IF(AND(AGE&lt;=60,DATA!$I$19="AUTO"),BG6,
IF(AND(AGE&gt;60,AGE&lt;=80,DATA!$I$19="OLD"),BA15,IF(AND(AGE&gt;60,AGE&lt;=80,DATA!$I$19="NEW"),BG15,IF(AND(AGE&gt;60,AGE&lt;=80,DATA!$I$19="AUTO"),KEY!BM15,IF(AND(AGE&gt;80,DATA!$I$19="OLD"),BA24,IF(AND(AGE&gt;80,DATA!$I$19="NEW"),BG24,IF(AND(AGE&gt;80,DATA!$I$19="AUTO"),BM24,BA6)))))))))</f>
        <v>0</v>
      </c>
      <c r="BB34" s="505">
        <f>IF(AND(AGE&lt;=60,DATA!$I$19="OLD"),BB6,IF(AND(AGE&lt;=60,DATA!$I$19="NEW"),BH6,IF(AND(AGE&lt;=60,DATA!$I$19="AUTO"),BN6,
   IF(AND(AGE&gt;60,AGE&lt;=80,DATA!$I$19="OLD"),BB15,IF(AND(AGE&gt;60,AGE&lt;=80,DATA!$I$19="NEW"),BH15,
   IF(AND(AGE&gt;60,AGE&lt;=80,DATA!$I$19="AUTO"),BN15,
   IF(AND(AGE&gt;80,DATA!$I$19="OLD"),BB24,IF(AND(AGE&gt;80,DATA!$I$19="NEW"),BH24,IF(AND(AGE&gt;80,DATA!$I$19="AUTO"),BN24,BB6)))))))))</f>
        <v>0</v>
      </c>
      <c r="BC34" s="506"/>
      <c r="BD34" s="586" t="s">
        <v>572</v>
      </c>
      <c r="BE34" s="506"/>
      <c r="BF34" s="587">
        <f t="shared" ref="BF34:BH34" si="106">MAX(0,BF32-BF33)</f>
        <v>0</v>
      </c>
      <c r="BG34" s="587">
        <f t="shared" si="106"/>
        <v>0</v>
      </c>
      <c r="BH34" s="587">
        <f t="shared" si="106"/>
        <v>0</v>
      </c>
      <c r="BI34" s="506"/>
      <c r="BJ34" s="583">
        <f>IF(DATA!$I$19="OLD",BL34,IF(DATA!$I$19="NEW",BM34,IF(DATA!$I$19="AUTO",MIN(BL34,BM34))))</f>
        <v>0</v>
      </c>
      <c r="BK34" s="506"/>
      <c r="BL34" s="583">
        <f t="shared" si="97"/>
        <v>0</v>
      </c>
      <c r="BM34" s="587">
        <f>MAX(0,BM32-BM33)</f>
        <v>0</v>
      </c>
      <c r="BN34" s="599"/>
      <c r="BO34" s="506"/>
      <c r="BP34" s="16"/>
      <c r="BQ34" s="16"/>
      <c r="BR34" s="238"/>
      <c r="BS34" s="238"/>
      <c r="BT34" s="591"/>
      <c r="BU34" s="238"/>
      <c r="BV34" s="16"/>
      <c r="BW34" s="592"/>
    </row>
    <row r="35" spans="1:75" ht="15.75" hidden="1" customHeight="1">
      <c r="A35" s="40"/>
      <c r="B35" s="497">
        <v>47090</v>
      </c>
      <c r="C35" s="497">
        <f t="shared" ref="C35:D35" si="107">B36</f>
        <v>48440</v>
      </c>
      <c r="D35" s="509">
        <f t="shared" si="107"/>
        <v>49790</v>
      </c>
      <c r="E35" s="223">
        <v>49790</v>
      </c>
      <c r="F35" s="40"/>
      <c r="G35" s="556">
        <v>45047</v>
      </c>
      <c r="H35" s="1"/>
      <c r="I35" s="40"/>
      <c r="J35" s="512">
        <v>44713</v>
      </c>
      <c r="K35" s="497">
        <f t="shared" si="99"/>
        <v>61960</v>
      </c>
      <c r="L35" s="40"/>
      <c r="M35" s="513">
        <f t="shared" si="89"/>
        <v>45536</v>
      </c>
      <c r="N35" s="514" t="str">
        <f t="shared" si="90"/>
        <v/>
      </c>
      <c r="O35" s="515">
        <f t="shared" si="91"/>
        <v>69020</v>
      </c>
      <c r="P35" s="514" t="str">
        <f t="shared" si="5"/>
        <v/>
      </c>
      <c r="Q35" s="515">
        <f t="shared" si="6"/>
        <v>67190</v>
      </c>
      <c r="R35" s="515">
        <f t="shared" si="7"/>
        <v>67190</v>
      </c>
      <c r="S35" s="40"/>
      <c r="T35" s="1"/>
      <c r="U35" s="1"/>
      <c r="V35" s="1"/>
      <c r="W35" s="1"/>
      <c r="X35" s="1"/>
      <c r="Y35" s="3"/>
      <c r="Z35" s="40"/>
      <c r="AA35" s="513">
        <f t="shared" si="92"/>
        <v>45536</v>
      </c>
      <c r="AB35" s="545"/>
      <c r="AC35" s="545"/>
      <c r="AD35" s="545"/>
      <c r="AE35" s="40"/>
      <c r="AF35" s="545">
        <f t="shared" si="54"/>
        <v>0</v>
      </c>
      <c r="AG35" s="545">
        <f t="shared" si="55"/>
        <v>0</v>
      </c>
      <c r="AH35" s="545">
        <f t="shared" si="56"/>
        <v>0</v>
      </c>
      <c r="AI35" s="40"/>
      <c r="AJ35" s="1"/>
      <c r="AK35" s="4"/>
      <c r="AL35" s="482"/>
      <c r="AM35" s="40"/>
      <c r="AN35" s="600" t="s">
        <v>573</v>
      </c>
      <c r="AO35" s="601">
        <f>'ANNEXURE II'!I7+'ANNEXURE II'!I20</f>
        <v>1155841</v>
      </c>
      <c r="AP35" s="4"/>
      <c r="AQ35" s="296" t="s">
        <v>574</v>
      </c>
      <c r="AR35" s="1"/>
      <c r="AS35" s="1"/>
      <c r="AT35" s="597">
        <v>25000</v>
      </c>
      <c r="AU35" s="1"/>
      <c r="AV35" s="40"/>
      <c r="AW35" s="1"/>
      <c r="AX35" s="502" t="str">
        <f>IF(AND(AGE&lt;=60,DATA!$I$19="OLD"),AX7,IF(AND(AGE&lt;=60,DATA!$I$19="NEW"),BD7,IF(AND(AGE&lt;=60,DATA!$I$19="AUTO"),BJ7,
IF(AND(AGE&gt;60,AGE&lt;=80,DATA!$I$19="OLD"),AX16,IF(AND(AGE&gt;60,AGE&lt;=80,DATA!$I$19="NEW"),BD16,IF(AND(AGE&gt;60,AGE&lt;=80,DATA!$I$19="AUTO"),KEY!BJ16,IF(AND(AGE&gt;80,DATA!$I$19="OLD"),AX25,IF(AND(AGE&gt;80,DATA!$I$19="NEW"),BD25,IF(AND(AGE&gt;80,DATA!$I$19="AUTO"),BJ25,AX7)))))))))</f>
        <v>Rs.1500000 &amp;    ABOVE</v>
      </c>
      <c r="AY35" s="503">
        <f>IF(AND(AGE&lt;=60,DATA!$I$19="OLD"),AY7,IF(AND(AGE&lt;=60,DATA!$I$19="NEW"),BE7,IF(AND(AGE&lt;=60,DATA!$I$19="AUTO"),BK7,
IF(AND(AGE&gt;60,AGE&lt;=80,DATA!$I$19="OLD"),AY16,IF(AND(AGE&gt;60,AGE&lt;=80,DATA!$I$19="NEW"),BE16,IF(AND(AGE&gt;60,AGE&lt;=80,DATA!$I$19="AUTO"),BK16,
IF(AND(AGE&gt;80,DATA!$I$19="OLD"),AY25,IF(AND(AGE&gt;80,DATA!$I$19="NEW"),BE25,IF(AND(AGE&gt;80,DATA!$I$19="AUTO"),BK25,AY7)))))))))</f>
        <v>0.3</v>
      </c>
      <c r="AZ35" s="504">
        <f>IF(AND(AGE&lt;=60,DATA!$I$19="OLD"),AZ7,IF(AND(AGE&lt;=60,DATA!$I$19="NEW"),BF7,IF(AND(AGE&lt;=60,DATA!$I$19="AUTO"),BL7,
IF(AND(AGE&gt;60,AGE&lt;=80,DATA!$I$19="OLD"),AZ16,IF(AND(AGE&gt;60,AGE&lt;=80,DATA!$I$19="NEW"),BF16,IF(AND(AGE&gt;60,AGE&lt;=80,DATA!$I$19="AUTO"),BL16,
IF(AND(AGE&gt;80,DATA!$I$19="OLD"),AZ25,IF(AND(AGE&gt;80,DATA!$I$19="NEW"),BF25,IF(AND(AGE&gt;80,DATA!$I$19="AUTO"),BL25,AZ7)))))))))</f>
        <v>0</v>
      </c>
      <c r="BA35" s="504">
        <f>IF(AND(AGE&lt;=60,DATA!$I$19="OLD"),BA7,IF(AND(AGE&lt;=60,DATA!$I$19="NEW"),BG7,IF(AND(AGE&lt;=60,DATA!$I$19="AUTO"),BG7,
IF(AND(AGE&gt;60,AGE&lt;=80,DATA!$I$19="OLD"),BA16,IF(AND(AGE&gt;60,AGE&lt;=80,DATA!$I$19="NEW"),BG16,IF(AND(AGE&gt;60,AGE&lt;=80,DATA!$I$19="AUTO"),KEY!BM16,IF(AND(AGE&gt;80,DATA!$I$19="OLD"),BA25,IF(AND(AGE&gt;80,DATA!$I$19="NEW"),BG25,IF(AND(AGE&gt;80,DATA!$I$19="AUTO"),BM25,BA7)))))))))</f>
        <v>0</v>
      </c>
      <c r="BB35" s="505">
        <f>IF(AND(AGE&lt;=60,DATA!$I$19="OLD"),BB7,IF(AND(AGE&lt;=60,DATA!$I$19="NEW"),BH7,IF(AND(AGE&lt;=60,DATA!$I$19="AUTO"),BN7,
   IF(AND(AGE&gt;60,AGE&lt;=80,DATA!$I$19="OLD"),BB16,IF(AND(AGE&gt;60,AGE&lt;=80,DATA!$I$19="NEW"),BH16,
   IF(AND(AGE&gt;60,AGE&lt;=80,DATA!$I$19="AUTO"),BN16,
   IF(AND(AGE&gt;80,DATA!$I$19="OLD"),BB25,IF(AND(AGE&gt;80,DATA!$I$19="NEW"),BH25,IF(AND(AGE&gt;80,DATA!$I$19="AUTO"),BN25,BB7)))))))))</f>
        <v>0</v>
      </c>
      <c r="BC35" s="506"/>
      <c r="BD35" s="586" t="s">
        <v>575</v>
      </c>
      <c r="BE35" s="506"/>
      <c r="BF35" s="602">
        <f t="shared" ref="BF35:BH35" si="108">MAX(0,ROUND((BF30+BF32-BF33-BF31)*4%,0))</f>
        <v>4087</v>
      </c>
      <c r="BG35" s="602">
        <f t="shared" si="108"/>
        <v>3987</v>
      </c>
      <c r="BH35" s="602">
        <f t="shared" si="108"/>
        <v>3587</v>
      </c>
      <c r="BI35" s="506"/>
      <c r="BJ35" s="583">
        <f>IF(DATA!$I$19="OLD",BL35,IF(DATA!$I$19="NEW",BM35,IF(DATA!$I$19="AUTO",MIN(BL35,BM35))))</f>
        <v>2485</v>
      </c>
      <c r="BK35" s="506"/>
      <c r="BL35" s="583">
        <f t="shared" si="97"/>
        <v>4087</v>
      </c>
      <c r="BM35" s="602">
        <f>MAX(0,ROUND((BM30+BM32-BM33-BM31)*4%,0))</f>
        <v>2485</v>
      </c>
      <c r="BN35" s="603" t="s">
        <v>576</v>
      </c>
      <c r="BO35" s="506"/>
      <c r="BP35" s="16"/>
      <c r="BQ35" s="16"/>
      <c r="BR35" s="238"/>
      <c r="BS35" s="238"/>
      <c r="BT35" s="591"/>
      <c r="BU35" s="238"/>
      <c r="BV35" s="16"/>
      <c r="BW35" s="592"/>
    </row>
    <row r="36" spans="1:75" ht="15.75" hidden="1" customHeight="1">
      <c r="A36" s="40"/>
      <c r="B36" s="497">
        <v>48440</v>
      </c>
      <c r="C36" s="497">
        <f t="shared" ref="C36:D36" si="109">B37</f>
        <v>49790</v>
      </c>
      <c r="D36" s="509">
        <f t="shared" si="109"/>
        <v>51140</v>
      </c>
      <c r="E36" s="223">
        <v>51140</v>
      </c>
      <c r="F36" s="40"/>
      <c r="G36" s="556">
        <v>45078</v>
      </c>
      <c r="H36" s="1"/>
      <c r="I36" s="40"/>
      <c r="J36" s="512">
        <v>44682</v>
      </c>
      <c r="K36" s="497">
        <f t="shared" si="99"/>
        <v>61960</v>
      </c>
      <c r="L36" s="40"/>
      <c r="M36" s="513">
        <f t="shared" si="89"/>
        <v>45566</v>
      </c>
      <c r="N36" s="514" t="str">
        <f t="shared" si="90"/>
        <v/>
      </c>
      <c r="O36" s="515">
        <f t="shared" si="91"/>
        <v>69020</v>
      </c>
      <c r="P36" s="514" t="str">
        <f t="shared" si="5"/>
        <v/>
      </c>
      <c r="Q36" s="515">
        <f t="shared" si="6"/>
        <v>67190</v>
      </c>
      <c r="R36" s="515">
        <f t="shared" si="7"/>
        <v>67190</v>
      </c>
      <c r="S36" s="40"/>
      <c r="T36" s="1"/>
      <c r="U36" s="1"/>
      <c r="V36" s="1"/>
      <c r="W36" s="1"/>
      <c r="X36" s="1"/>
      <c r="Y36" s="3"/>
      <c r="Z36" s="40"/>
      <c r="AA36" s="513">
        <f t="shared" si="92"/>
        <v>45566</v>
      </c>
      <c r="AB36" s="545"/>
      <c r="AC36" s="545"/>
      <c r="AD36" s="545"/>
      <c r="AE36" s="40"/>
      <c r="AF36" s="545">
        <f t="shared" si="54"/>
        <v>0</v>
      </c>
      <c r="AG36" s="545">
        <f t="shared" si="55"/>
        <v>0</v>
      </c>
      <c r="AH36" s="545">
        <f t="shared" si="56"/>
        <v>0</v>
      </c>
      <c r="AI36" s="40"/>
      <c r="AJ36" s="1"/>
      <c r="AK36" s="4"/>
      <c r="AL36" s="482"/>
      <c r="AM36" s="40"/>
      <c r="AN36" s="604" t="s">
        <v>571</v>
      </c>
      <c r="AO36" s="601">
        <f>AT34</f>
        <v>207410</v>
      </c>
      <c r="AP36" s="4"/>
      <c r="AQ36" s="1"/>
      <c r="AR36" s="1"/>
      <c r="AS36" s="1"/>
      <c r="AT36" s="1"/>
      <c r="AU36" s="1"/>
      <c r="AV36" s="40"/>
      <c r="AW36" s="1"/>
      <c r="AX36" s="502">
        <f>IF(AND(AGE&lt;=60,DATA!$I$19="OLD"),AX8,IF(AND(AGE&lt;=60,DATA!$I$19="NEW"),BD8,IF(AND(AGE&lt;=60,DATA!$I$19="AUTO"),BJ8,
IF(AND(AGE&gt;60,AGE&lt;=80,DATA!$I$19="OLD"),AX17,IF(AND(AGE&gt;60,AGE&lt;=80,DATA!$I$19="NEW"),BD17,IF(AND(AGE&gt;60,AGE&lt;=80,DATA!$I$19="AUTO"),KEY!BJ17,IF(AND(AGE&gt;80,DATA!$I$19="OLD"),AX26,IF(AND(AGE&gt;80,DATA!$I$19="NEW"),BD26,IF(AND(AGE&gt;80,DATA!$I$19="AUTO"),BJ26,AX8)))))))))</f>
        <v>0</v>
      </c>
      <c r="AY36" s="503"/>
      <c r="AZ36" s="543">
        <f t="shared" ref="AZ36:BA36" si="110">SUM(AZ30:AZ35)</f>
        <v>1080840</v>
      </c>
      <c r="BA36" s="543">
        <f t="shared" si="110"/>
        <v>62126</v>
      </c>
      <c r="BB36" s="537"/>
      <c r="BC36" s="506"/>
      <c r="BD36" s="605" t="s">
        <v>367</v>
      </c>
      <c r="BE36" s="506"/>
      <c r="BF36" s="606">
        <f t="shared" ref="BF36:BH36" si="111">BF30-BF31+BF34+BF35</f>
        <v>106273</v>
      </c>
      <c r="BG36" s="606">
        <f t="shared" si="111"/>
        <v>103673</v>
      </c>
      <c r="BH36" s="606">
        <f t="shared" si="111"/>
        <v>93273</v>
      </c>
      <c r="BI36" s="506"/>
      <c r="BJ36" s="606">
        <f>IF(DATA!$I$19="OLD",BL36,IF(DATA!$I$19="NEW",BM36,IF(DATA!$I$19="AUTO",MIN(BL36,BM36))))</f>
        <v>64611</v>
      </c>
      <c r="BK36" s="506"/>
      <c r="BL36" s="606">
        <f t="shared" si="97"/>
        <v>106273</v>
      </c>
      <c r="BM36" s="606">
        <f>BM30-BM31+BM34+BM35</f>
        <v>64611</v>
      </c>
      <c r="BN36" s="607">
        <f>BJ36</f>
        <v>64611</v>
      </c>
      <c r="BO36" s="506"/>
      <c r="BP36" s="16"/>
      <c r="BQ36" s="608"/>
      <c r="BR36" s="238"/>
      <c r="BS36" s="238"/>
      <c r="BT36" s="591"/>
      <c r="BU36" s="238"/>
      <c r="BV36" s="16"/>
      <c r="BW36" s="592"/>
    </row>
    <row r="37" spans="1:75" ht="15.75" hidden="1" customHeight="1">
      <c r="A37" s="40"/>
      <c r="B37" s="497">
        <v>49790</v>
      </c>
      <c r="C37" s="497">
        <f t="shared" ref="C37:D37" si="112">B38</f>
        <v>51140</v>
      </c>
      <c r="D37" s="509">
        <f t="shared" si="112"/>
        <v>52600</v>
      </c>
      <c r="E37" s="223">
        <v>52600</v>
      </c>
      <c r="F37" s="40"/>
      <c r="G37" s="556">
        <v>45108</v>
      </c>
      <c r="H37" s="1"/>
      <c r="I37" s="40"/>
      <c r="J37" s="512">
        <v>44652</v>
      </c>
      <c r="K37" s="497">
        <f t="shared" si="99"/>
        <v>61960</v>
      </c>
      <c r="L37" s="40"/>
      <c r="M37" s="513">
        <f t="shared" si="89"/>
        <v>45597</v>
      </c>
      <c r="N37" s="514" t="str">
        <f t="shared" si="90"/>
        <v/>
      </c>
      <c r="O37" s="515">
        <f t="shared" si="91"/>
        <v>69020</v>
      </c>
      <c r="P37" s="514" t="str">
        <f t="shared" si="5"/>
        <v/>
      </c>
      <c r="Q37" s="515">
        <f t="shared" si="6"/>
        <v>67190</v>
      </c>
      <c r="R37" s="515">
        <f t="shared" si="7"/>
        <v>67190</v>
      </c>
      <c r="S37" s="40"/>
      <c r="T37" s="1"/>
      <c r="U37" s="1"/>
      <c r="V37" s="1"/>
      <c r="W37" s="1"/>
      <c r="X37" s="1"/>
      <c r="Y37" s="3"/>
      <c r="Z37" s="40"/>
      <c r="AA37" s="513">
        <f t="shared" si="92"/>
        <v>45597</v>
      </c>
      <c r="AB37" s="545"/>
      <c r="AC37" s="545"/>
      <c r="AD37" s="545"/>
      <c r="AE37" s="40"/>
      <c r="AF37" s="545">
        <f t="shared" si="54"/>
        <v>0</v>
      </c>
      <c r="AG37" s="545">
        <f t="shared" si="55"/>
        <v>0</v>
      </c>
      <c r="AH37" s="545">
        <f t="shared" si="56"/>
        <v>0</v>
      </c>
      <c r="AI37" s="40"/>
      <c r="AJ37" s="1"/>
      <c r="AK37" s="4"/>
      <c r="AL37" s="482"/>
      <c r="AM37" s="40"/>
      <c r="AN37" s="609" t="s">
        <v>577</v>
      </c>
      <c r="AO37" s="601">
        <f>IF(AGE&lt;=60,BA8,IF(AGE&gt;80,BA17,BA26))</f>
        <v>102186</v>
      </c>
      <c r="AP37" s="4"/>
      <c r="AQ37" s="610" t="s">
        <v>578</v>
      </c>
      <c r="AR37" s="611"/>
      <c r="AS37" s="611"/>
      <c r="AT37" s="1"/>
      <c r="AU37" s="1"/>
      <c r="AV37" s="40"/>
      <c r="AW37" s="1"/>
      <c r="AX37" s="506"/>
      <c r="AY37" s="506"/>
      <c r="AZ37" s="506"/>
      <c r="BA37" s="506"/>
      <c r="BB37" s="506"/>
      <c r="BC37" s="506"/>
      <c r="BD37" s="546"/>
      <c r="BE37" s="506"/>
      <c r="BF37" s="506"/>
      <c r="BG37" s="506"/>
      <c r="BH37" s="506"/>
      <c r="BI37" s="506"/>
      <c r="BJ37" s="546"/>
      <c r="BK37" s="506"/>
      <c r="BL37" s="612"/>
      <c r="BM37" s="506"/>
      <c r="BN37" s="506"/>
      <c r="BO37" s="506"/>
      <c r="BP37" s="16"/>
      <c r="BQ37" s="608"/>
      <c r="BR37" s="238"/>
      <c r="BS37" s="238"/>
      <c r="BT37" s="591"/>
      <c r="BU37" s="238"/>
      <c r="BV37" s="16"/>
      <c r="BW37" s="592"/>
    </row>
    <row r="38" spans="1:75" ht="15.75" hidden="1" customHeight="1">
      <c r="A38" s="40"/>
      <c r="B38" s="497">
        <v>51140</v>
      </c>
      <c r="C38" s="497">
        <f t="shared" ref="C38:D38" si="113">B39</f>
        <v>52600</v>
      </c>
      <c r="D38" s="509">
        <f t="shared" si="113"/>
        <v>54060</v>
      </c>
      <c r="E38" s="223">
        <v>54060</v>
      </c>
      <c r="F38" s="40"/>
      <c r="G38" s="556">
        <v>45139</v>
      </c>
      <c r="H38" s="1"/>
      <c r="I38" s="40"/>
      <c r="J38" s="512">
        <v>44621</v>
      </c>
      <c r="K38" s="497">
        <f t="shared" si="99"/>
        <v>61960</v>
      </c>
      <c r="L38" s="40"/>
      <c r="M38" s="513">
        <f t="shared" si="89"/>
        <v>45627</v>
      </c>
      <c r="N38" s="514" t="str">
        <f t="shared" si="90"/>
        <v/>
      </c>
      <c r="O38" s="515">
        <f t="shared" si="91"/>
        <v>69020</v>
      </c>
      <c r="P38" s="514" t="str">
        <f t="shared" si="5"/>
        <v/>
      </c>
      <c r="Q38" s="515">
        <f t="shared" si="6"/>
        <v>67190</v>
      </c>
      <c r="R38" s="515">
        <f t="shared" si="7"/>
        <v>67190</v>
      </c>
      <c r="S38" s="40"/>
      <c r="T38" s="1"/>
      <c r="U38" s="1"/>
      <c r="V38" s="1"/>
      <c r="W38" s="1"/>
      <c r="X38" s="1"/>
      <c r="Y38" s="3"/>
      <c r="Z38" s="40"/>
      <c r="AA38" s="513">
        <f t="shared" si="92"/>
        <v>45627</v>
      </c>
      <c r="AB38" s="545"/>
      <c r="AC38" s="545"/>
      <c r="AD38" s="545"/>
      <c r="AE38" s="40"/>
      <c r="AF38" s="545">
        <f t="shared" si="54"/>
        <v>0</v>
      </c>
      <c r="AG38" s="545">
        <f t="shared" si="55"/>
        <v>0</v>
      </c>
      <c r="AH38" s="545">
        <f t="shared" si="56"/>
        <v>0</v>
      </c>
      <c r="AI38" s="40"/>
      <c r="AJ38" s="1"/>
      <c r="AK38" s="4"/>
      <c r="AL38" s="482"/>
      <c r="AM38" s="40"/>
      <c r="AN38" s="613" t="s">
        <v>579</v>
      </c>
      <c r="AO38" s="601">
        <f>BG8</f>
        <v>62126</v>
      </c>
      <c r="AP38" s="4"/>
      <c r="AQ38" s="1"/>
      <c r="AR38" s="1"/>
      <c r="AS38" s="1"/>
      <c r="AT38" s="1"/>
      <c r="AU38" s="1"/>
      <c r="AV38" s="40"/>
      <c r="AW38" s="1"/>
      <c r="AX38" s="506"/>
      <c r="AY38" s="506"/>
      <c r="AZ38" s="506"/>
      <c r="BA38" s="506"/>
      <c r="BB38" s="506"/>
      <c r="BC38" s="506"/>
      <c r="BD38" s="546"/>
      <c r="BE38" s="506"/>
      <c r="BF38" s="506"/>
      <c r="BG38" s="506"/>
      <c r="BH38" s="506"/>
      <c r="BI38" s="506"/>
      <c r="BJ38" s="546"/>
      <c r="BK38" s="506"/>
      <c r="BL38" s="506"/>
      <c r="BM38" s="506"/>
      <c r="BN38" s="506"/>
      <c r="BO38" s="506"/>
      <c r="BP38" s="16"/>
      <c r="BQ38" s="608"/>
      <c r="BR38" s="238"/>
      <c r="BS38" s="238"/>
      <c r="BT38" s="591"/>
      <c r="BU38" s="238"/>
      <c r="BV38" s="16"/>
      <c r="BW38" s="592"/>
    </row>
    <row r="39" spans="1:75" ht="15.75" hidden="1" customHeight="1">
      <c r="A39" s="40"/>
      <c r="B39" s="497">
        <v>52600</v>
      </c>
      <c r="C39" s="497">
        <f t="shared" ref="C39:D39" si="114">B40</f>
        <v>54060</v>
      </c>
      <c r="D39" s="509">
        <f t="shared" si="114"/>
        <v>55520</v>
      </c>
      <c r="E39" s="223">
        <v>55520</v>
      </c>
      <c r="F39" s="40"/>
      <c r="G39" s="556">
        <v>45170</v>
      </c>
      <c r="H39" s="1"/>
      <c r="I39" s="40"/>
      <c r="J39" s="512">
        <v>44593</v>
      </c>
      <c r="K39" s="497">
        <f t="shared" si="99"/>
        <v>61960</v>
      </c>
      <c r="L39" s="40"/>
      <c r="M39" s="513">
        <f t="shared" si="89"/>
        <v>45658</v>
      </c>
      <c r="N39" s="514"/>
      <c r="O39" s="515">
        <f t="shared" si="91"/>
        <v>70850</v>
      </c>
      <c r="P39" s="514" t="str">
        <f t="shared" si="5"/>
        <v/>
      </c>
      <c r="Q39" s="515">
        <f t="shared" si="6"/>
        <v>69020</v>
      </c>
      <c r="R39" s="515">
        <f t="shared" si="7"/>
        <v>69020</v>
      </c>
      <c r="S39" s="40"/>
      <c r="T39" s="1"/>
      <c r="U39" s="1"/>
      <c r="V39" s="1"/>
      <c r="W39" s="1"/>
      <c r="X39" s="1"/>
      <c r="Y39" s="3"/>
      <c r="Z39" s="40"/>
      <c r="AA39" s="513">
        <f t="shared" si="92"/>
        <v>45658</v>
      </c>
      <c r="AB39" s="545">
        <f>IF($AD$2&lt;M39, 0, ROUND(R39*$AD$5*100%,0) - ROUND(R39*$AD$4*100%,0))</f>
        <v>0</v>
      </c>
      <c r="AC39" s="545">
        <f>IF(AB39=0,0,ROUND(R39*$AD$5*10%,0) - ROUND(R39*$AD$4*10%,0))</f>
        <v>0</v>
      </c>
      <c r="AD39" s="545">
        <f>AB39-AC39</f>
        <v>0</v>
      </c>
      <c r="AE39" s="40"/>
      <c r="AF39" s="545">
        <f t="shared" si="54"/>
        <v>0</v>
      </c>
      <c r="AG39" s="545">
        <f t="shared" si="55"/>
        <v>0</v>
      </c>
      <c r="AH39" s="545">
        <f t="shared" si="56"/>
        <v>0</v>
      </c>
      <c r="AI39" s="40"/>
      <c r="AJ39" s="1"/>
      <c r="AK39" s="4"/>
      <c r="AL39" s="482"/>
      <c r="AM39" s="40"/>
      <c r="AN39" s="1"/>
      <c r="AO39" s="1"/>
      <c r="AP39" s="4"/>
      <c r="AQ39" s="1"/>
      <c r="AR39" s="1"/>
      <c r="AS39" s="1"/>
      <c r="AT39" s="1"/>
      <c r="AU39" s="1"/>
      <c r="AV39" s="40"/>
      <c r="AW39" s="1"/>
      <c r="AX39" s="506"/>
      <c r="AY39" s="506"/>
      <c r="AZ39" s="506"/>
      <c r="BA39" s="506"/>
      <c r="BB39" s="506"/>
      <c r="BC39" s="506"/>
      <c r="BD39" s="546"/>
      <c r="BE39" s="506"/>
      <c r="BF39" s="506"/>
      <c r="BG39" s="506"/>
      <c r="BH39" s="506"/>
      <c r="BI39" s="506"/>
      <c r="BJ39" s="546"/>
      <c r="BK39" s="506"/>
      <c r="BL39" s="506"/>
      <c r="BM39" s="506"/>
      <c r="BN39" s="506"/>
      <c r="BO39" s="506"/>
      <c r="BP39" s="16"/>
      <c r="BQ39" s="130"/>
      <c r="BR39" s="238"/>
      <c r="BS39" s="238"/>
      <c r="BT39" s="591"/>
      <c r="BU39" s="238"/>
      <c r="BV39" s="16"/>
      <c r="BW39" s="592"/>
    </row>
    <row r="40" spans="1:75" ht="15.75" hidden="1" customHeight="1">
      <c r="A40" s="40"/>
      <c r="B40" s="497">
        <v>54060</v>
      </c>
      <c r="C40" s="497">
        <f t="shared" ref="C40:D40" si="115">B41</f>
        <v>55520</v>
      </c>
      <c r="D40" s="509">
        <f t="shared" si="115"/>
        <v>57100</v>
      </c>
      <c r="E40" s="223">
        <v>57100</v>
      </c>
      <c r="F40" s="40"/>
      <c r="G40" s="556">
        <v>45200</v>
      </c>
      <c r="H40" s="1"/>
      <c r="I40" s="40"/>
      <c r="J40" s="512">
        <v>44562</v>
      </c>
      <c r="K40" s="497">
        <f t="shared" si="99"/>
        <v>61960</v>
      </c>
      <c r="L40" s="40"/>
      <c r="M40" s="513">
        <f t="shared" si="89"/>
        <v>45689</v>
      </c>
      <c r="N40" s="514"/>
      <c r="O40" s="515">
        <f t="shared" si="91"/>
        <v>70850</v>
      </c>
      <c r="P40" s="514" t="str">
        <f t="shared" si="5"/>
        <v>AAS</v>
      </c>
      <c r="Q40" s="515">
        <f t="shared" si="6"/>
        <v>72810</v>
      </c>
      <c r="R40" s="515">
        <f t="shared" si="7"/>
        <v>70850</v>
      </c>
      <c r="S40" s="40"/>
      <c r="T40" s="614" t="s">
        <v>580</v>
      </c>
      <c r="U40" s="614"/>
      <c r="V40" s="1"/>
      <c r="W40" s="615" t="s">
        <v>581</v>
      </c>
      <c r="X40" s="616" t="s">
        <v>476</v>
      </c>
      <c r="Y40" s="616" t="s">
        <v>582</v>
      </c>
      <c r="Z40" s="40"/>
      <c r="AA40" s="617" t="s">
        <v>583</v>
      </c>
      <c r="AB40" s="545"/>
      <c r="AC40" s="545"/>
      <c r="AD40" s="545"/>
      <c r="AE40" s="40"/>
      <c r="AF40" s="545">
        <f>IF($AH$2&lt;M41, 0, ROUND(R41*$AH$5*100%,0) - ROUND(R41*$AH$4*100%,0))</f>
        <v>2512</v>
      </c>
      <c r="AG40" s="545">
        <f>IF(AF40=0,0,ROUND(R41*$AH$5*10%,0) - ROUND(R41*$AH$4*10%,0))</f>
        <v>251</v>
      </c>
      <c r="AH40" s="545">
        <f t="shared" si="56"/>
        <v>2261</v>
      </c>
      <c r="AI40" s="40"/>
      <c r="AJ40" s="1"/>
      <c r="AK40" s="4"/>
      <c r="AL40" s="482"/>
      <c r="AM40" s="40"/>
      <c r="AN40" s="1"/>
      <c r="AO40" s="618"/>
      <c r="AP40" s="4"/>
      <c r="AQ40" s="1"/>
      <c r="AR40" s="1"/>
      <c r="AS40" s="1"/>
      <c r="AT40" s="1"/>
      <c r="AU40" s="1"/>
      <c r="AV40" s="40"/>
      <c r="AW40" s="1"/>
      <c r="AX40" s="506"/>
      <c r="AY40" s="506"/>
      <c r="AZ40" s="506"/>
      <c r="BA40" s="506"/>
      <c r="BB40" s="506"/>
      <c r="BC40" s="506"/>
      <c r="BD40" s="546"/>
      <c r="BE40" s="506"/>
      <c r="BF40" s="506"/>
      <c r="BG40" s="506"/>
      <c r="BH40" s="506"/>
      <c r="BI40" s="506"/>
      <c r="BJ40" s="546"/>
      <c r="BK40" s="506"/>
      <c r="BL40" s="506"/>
      <c r="BM40" s="506"/>
      <c r="BN40" s="506"/>
      <c r="BO40" s="506"/>
      <c r="BP40" s="16"/>
      <c r="BQ40" s="16"/>
      <c r="BR40" s="16"/>
      <c r="BS40" s="16"/>
      <c r="BT40" s="26"/>
      <c r="BU40" s="16"/>
      <c r="BV40" s="16"/>
      <c r="BW40" s="16"/>
    </row>
    <row r="41" spans="1:75" ht="15.75" hidden="1" customHeight="1">
      <c r="A41" s="40"/>
      <c r="B41" s="497">
        <v>55520</v>
      </c>
      <c r="C41" s="497">
        <f t="shared" ref="C41:D41" si="116">B42</f>
        <v>57100</v>
      </c>
      <c r="D41" s="509">
        <f t="shared" si="116"/>
        <v>58680</v>
      </c>
      <c r="E41" s="223">
        <v>58680</v>
      </c>
      <c r="F41" s="40"/>
      <c r="G41" s="556">
        <v>45231</v>
      </c>
      <c r="H41" s="1"/>
      <c r="I41" s="40"/>
      <c r="J41" s="1"/>
      <c r="K41" s="1"/>
      <c r="L41" s="40"/>
      <c r="M41" s="619">
        <f>G3</f>
        <v>45352</v>
      </c>
      <c r="N41" s="620"/>
      <c r="O41" s="621">
        <f>H3</f>
        <v>70850</v>
      </c>
      <c r="P41" s="620" t="str">
        <f t="shared" si="5"/>
        <v/>
      </c>
      <c r="Q41" s="621">
        <f t="shared" si="6"/>
        <v>69020</v>
      </c>
      <c r="R41" s="621">
        <f t="shared" si="7"/>
        <v>69020</v>
      </c>
      <c r="S41" s="40"/>
      <c r="T41" s="622">
        <f>IF(DATA!D9="N.A.",0,DATA!D9)</f>
        <v>45658</v>
      </c>
      <c r="U41" s="614"/>
      <c r="V41" s="1"/>
      <c r="W41" s="623" t="str">
        <f t="shared" ref="W41:W43" si="117">AA41</f>
        <v>N.A.</v>
      </c>
      <c r="X41" s="624">
        <f>IFERROR(IF(VALUE(DATA!I38)&gt;=VALUE(KEY!AA9),LOOKUP(DATA!I38,KEY!M9:M40,KEY!R9:R40),0),0)</f>
        <v>0</v>
      </c>
      <c r="Y41" s="625">
        <f>IF(DATA!J38=30,KEY!X41,ROUND(KEY!X41/2,0))</f>
        <v>0</v>
      </c>
      <c r="Z41" s="40"/>
      <c r="AA41" s="626" t="str">
        <f>DATA!I38</f>
        <v>N.A.</v>
      </c>
      <c r="AB41" s="545">
        <f t="shared" ref="AB41:AB43" si="118">ROUND(Y41*$AD$5*100%,0) - ROUND(Y41*$AD$4*100%,0)</f>
        <v>0</v>
      </c>
      <c r="AC41" s="545">
        <f t="shared" ref="AC41:AC43" si="119">IF(AB41=0,0,ROUND(Y41*$AD$5*10%,0) - ROUND(Y41*$AD$4*10%,0))</f>
        <v>0</v>
      </c>
      <c r="AD41" s="545">
        <f t="shared" ref="AD41:AD43" si="120">AB41-AC41</f>
        <v>0</v>
      </c>
      <c r="AE41" s="40"/>
      <c r="AF41" s="1"/>
      <c r="AG41" s="1"/>
      <c r="AH41" s="1"/>
      <c r="AI41" s="40"/>
      <c r="AJ41" s="1"/>
      <c r="AK41" s="4"/>
      <c r="AL41" s="482"/>
      <c r="AM41" s="40"/>
      <c r="AN41" s="1"/>
      <c r="AO41" s="1"/>
      <c r="AP41" s="4"/>
      <c r="AQ41" s="1"/>
      <c r="AR41" s="1"/>
      <c r="AS41" s="1"/>
      <c r="AT41" s="1"/>
      <c r="AU41" s="1"/>
      <c r="AV41" s="40"/>
      <c r="AW41" s="1"/>
      <c r="AX41" s="506"/>
      <c r="AY41" s="506"/>
      <c r="AZ41" s="506"/>
      <c r="BA41" s="506"/>
      <c r="BB41" s="506"/>
      <c r="BC41" s="506"/>
      <c r="BD41" s="546"/>
      <c r="BE41" s="506"/>
      <c r="BF41" s="506"/>
      <c r="BG41" s="506"/>
      <c r="BH41" s="506"/>
      <c r="BI41" s="506"/>
      <c r="BJ41" s="546"/>
      <c r="BK41" s="506"/>
      <c r="BL41" s="506"/>
      <c r="BM41" s="506"/>
      <c r="BN41" s="506"/>
      <c r="BO41" s="506"/>
      <c r="BP41" s="16"/>
      <c r="BQ41" s="16"/>
      <c r="BR41" s="16"/>
      <c r="BS41" s="16"/>
      <c r="BT41" s="26"/>
      <c r="BU41" s="16"/>
      <c r="BV41" s="16"/>
      <c r="BW41" s="16"/>
    </row>
    <row r="42" spans="1:75" ht="15.75" hidden="1" customHeight="1">
      <c r="A42" s="40"/>
      <c r="B42" s="497">
        <v>57100</v>
      </c>
      <c r="C42" s="497">
        <f t="shared" ref="C42:D42" si="121">B43</f>
        <v>58680</v>
      </c>
      <c r="D42" s="509">
        <f t="shared" si="121"/>
        <v>60260</v>
      </c>
      <c r="E42" s="223">
        <v>60260</v>
      </c>
      <c r="F42" s="40"/>
      <c r="G42" s="556">
        <v>45261</v>
      </c>
      <c r="H42" s="1"/>
      <c r="I42" s="40"/>
      <c r="J42" s="1"/>
      <c r="K42" s="1"/>
      <c r="L42" s="40"/>
      <c r="M42" s="619">
        <v>45017</v>
      </c>
      <c r="N42" s="627"/>
      <c r="O42" s="628">
        <f>O41</f>
        <v>70850</v>
      </c>
      <c r="P42" s="620" t="str">
        <f t="shared" si="5"/>
        <v/>
      </c>
      <c r="Q42" s="621">
        <f t="shared" si="6"/>
        <v>69020</v>
      </c>
      <c r="R42" s="621">
        <f t="shared" si="7"/>
        <v>69020</v>
      </c>
      <c r="S42" s="40"/>
      <c r="T42" s="622">
        <f>EOMONTH(T41,0)</f>
        <v>45688</v>
      </c>
      <c r="U42" s="614"/>
      <c r="V42" s="1"/>
      <c r="W42" s="623" t="str">
        <f t="shared" si="117"/>
        <v>N.A.</v>
      </c>
      <c r="X42" s="624">
        <f>IFERROR(LOOKUP(DATA!I39,KEY!M9:M40,KEY!R9:R40),0)</f>
        <v>0</v>
      </c>
      <c r="Y42" s="625">
        <f>IF(DATA!J39=30,KEY!X42,ROUND(KEY!X42/2,0))</f>
        <v>0</v>
      </c>
      <c r="Z42" s="40"/>
      <c r="AA42" s="626" t="str">
        <f>DATA!I39</f>
        <v>N.A.</v>
      </c>
      <c r="AB42" s="545">
        <f t="shared" si="118"/>
        <v>0</v>
      </c>
      <c r="AC42" s="545">
        <f t="shared" si="119"/>
        <v>0</v>
      </c>
      <c r="AD42" s="545">
        <f t="shared" si="120"/>
        <v>0</v>
      </c>
      <c r="AE42" s="40"/>
      <c r="AF42" s="1"/>
      <c r="AG42" s="1"/>
      <c r="AH42" s="1"/>
      <c r="AI42" s="40"/>
      <c r="AJ42" s="1"/>
      <c r="AK42" s="4"/>
      <c r="AL42" s="482"/>
      <c r="AM42" s="40"/>
      <c r="AN42" s="1"/>
      <c r="AO42" s="1"/>
      <c r="AP42" s="4"/>
      <c r="AQ42" s="1"/>
      <c r="AR42" s="1"/>
      <c r="AS42" s="1"/>
      <c r="AT42" s="1"/>
      <c r="AU42" s="1"/>
      <c r="AV42" s="40"/>
      <c r="AW42" s="1"/>
      <c r="AX42" s="506"/>
      <c r="AY42" s="506"/>
      <c r="AZ42" s="506"/>
      <c r="BA42" s="506"/>
      <c r="BB42" s="506"/>
      <c r="BC42" s="506"/>
      <c r="BD42" s="546"/>
      <c r="BE42" s="506"/>
      <c r="BF42" s="506"/>
      <c r="BG42" s="506"/>
      <c r="BH42" s="506"/>
      <c r="BI42" s="506"/>
      <c r="BJ42" s="546"/>
      <c r="BK42" s="506"/>
      <c r="BL42" s="506"/>
      <c r="BM42" s="506"/>
      <c r="BN42" s="506"/>
      <c r="BO42" s="506"/>
      <c r="BP42" s="16"/>
      <c r="BQ42" s="16"/>
      <c r="BR42" s="16"/>
      <c r="BS42" s="16"/>
      <c r="BT42" s="26"/>
      <c r="BU42" s="16"/>
      <c r="BV42" s="16"/>
      <c r="BW42" s="16"/>
    </row>
    <row r="43" spans="1:75" ht="15.75" hidden="1" customHeight="1">
      <c r="A43" s="40"/>
      <c r="B43" s="497">
        <v>58680</v>
      </c>
      <c r="C43" s="497">
        <f t="shared" ref="C43:D43" si="122">B44</f>
        <v>60260</v>
      </c>
      <c r="D43" s="509">
        <f t="shared" si="122"/>
        <v>61960</v>
      </c>
      <c r="E43" s="223">
        <v>61960</v>
      </c>
      <c r="F43" s="40"/>
      <c r="G43" s="556" t="s">
        <v>33</v>
      </c>
      <c r="H43" s="1"/>
      <c r="I43" s="40"/>
      <c r="J43" s="1"/>
      <c r="K43" s="492" t="s">
        <v>584</v>
      </c>
      <c r="L43" s="40"/>
      <c r="M43" s="1"/>
      <c r="N43" s="1"/>
      <c r="O43" s="1"/>
      <c r="P43" s="1"/>
      <c r="Q43" s="1"/>
      <c r="R43" s="1"/>
      <c r="S43" s="40"/>
      <c r="T43" s="614"/>
      <c r="U43" s="614"/>
      <c r="V43" s="1"/>
      <c r="W43" s="629" t="str">
        <f t="shared" si="117"/>
        <v>N.A.</v>
      </c>
      <c r="X43" s="630">
        <f>IFERROR(LOOKUP(DATA!D10,KEY!M9:M40,KEY!R9:R40),0)</f>
        <v>0</v>
      </c>
      <c r="Y43" s="631">
        <f>IF(DATA!D10="N.A.",0,IF(VALUE(DATA!D10)&gt;=VALUE(AA29),0,IF(AND(VALUE(DATA!D10)&lt;VALUE(AA29), DATA!E10=30),KEY!X43,IF(AND(VALUE(DATA!D10)&lt;VALUE(AA29), DATA!E10=15), ROUND(KEY!X43/2,0)))))</f>
        <v>0</v>
      </c>
      <c r="Z43" s="40"/>
      <c r="AA43" s="626" t="str">
        <f>IF(DATA!D10="N.A.","N.A.",IF(VALUE(DATA!D10)&gt;=VALUE(AA29),"N.A.",DATA!D10))</f>
        <v>N.A.</v>
      </c>
      <c r="AB43" s="545">
        <f t="shared" si="118"/>
        <v>0</v>
      </c>
      <c r="AC43" s="545">
        <f t="shared" si="119"/>
        <v>0</v>
      </c>
      <c r="AD43" s="545">
        <f t="shared" si="120"/>
        <v>0</v>
      </c>
      <c r="AE43" s="40"/>
      <c r="AF43" s="1"/>
      <c r="AG43" s="1"/>
      <c r="AH43" s="1"/>
      <c r="AI43" s="40"/>
      <c r="AJ43" s="1"/>
      <c r="AK43" s="161"/>
      <c r="AL43" s="482"/>
      <c r="AM43" s="40"/>
      <c r="AN43" s="1"/>
      <c r="AO43" s="1"/>
      <c r="AP43" s="161"/>
      <c r="AQ43" s="1"/>
      <c r="AR43" s="1"/>
      <c r="AS43" s="1"/>
      <c r="AT43" s="1"/>
      <c r="AU43" s="1"/>
      <c r="AV43" s="40"/>
      <c r="AW43" s="1"/>
      <c r="AX43" s="506"/>
      <c r="AY43" s="506"/>
      <c r="AZ43" s="506"/>
      <c r="BA43" s="506"/>
      <c r="BB43" s="506"/>
      <c r="BC43" s="506"/>
      <c r="BD43" s="546"/>
      <c r="BE43" s="506"/>
      <c r="BF43" s="506"/>
      <c r="BG43" s="506"/>
      <c r="BH43" s="506"/>
      <c r="BI43" s="506"/>
      <c r="BJ43" s="546"/>
      <c r="BK43" s="506"/>
      <c r="BL43" s="506"/>
      <c r="BM43" s="506"/>
      <c r="BN43" s="506"/>
      <c r="BO43" s="506"/>
      <c r="BP43" s="16"/>
      <c r="BQ43" s="16"/>
      <c r="BR43" s="16"/>
      <c r="BS43" s="16"/>
      <c r="BT43" s="26"/>
      <c r="BU43" s="16"/>
      <c r="BV43" s="16"/>
      <c r="BW43" s="16"/>
    </row>
    <row r="44" spans="1:75" ht="15.75" hidden="1" customHeight="1">
      <c r="A44" s="40"/>
      <c r="B44" s="497">
        <v>60260</v>
      </c>
      <c r="C44" s="497">
        <f t="shared" ref="C44:D44" si="123">B45</f>
        <v>61960</v>
      </c>
      <c r="D44" s="509">
        <f t="shared" si="123"/>
        <v>63660</v>
      </c>
      <c r="E44" s="223">
        <v>63660</v>
      </c>
      <c r="F44" s="40"/>
      <c r="G44" s="556">
        <v>45292</v>
      </c>
      <c r="H44" s="1"/>
      <c r="I44" s="40"/>
      <c r="J44" s="1"/>
      <c r="K44" s="130" t="s">
        <v>33</v>
      </c>
      <c r="L44" s="40"/>
      <c r="M44" s="1"/>
      <c r="N44" s="1"/>
      <c r="O44" s="632"/>
      <c r="P44" s="1"/>
      <c r="Q44" s="632"/>
      <c r="R44" s="1"/>
      <c r="S44" s="40"/>
      <c r="T44" s="614">
        <f>IF(DATA!D9="N.A.",0,DATEDIF(T41,T42,"MD"))</f>
        <v>30</v>
      </c>
      <c r="U44" s="614"/>
      <c r="V44" s="1"/>
      <c r="W44" s="626" t="str">
        <f>DATA!D10</f>
        <v>N.A.</v>
      </c>
      <c r="X44" s="514" t="s">
        <v>585</v>
      </c>
      <c r="Y44" s="625">
        <f>IF(AND(DATA!D10&lt;&gt;"N.A.",DATA!E10=30),KEY!X43,ROUND(KEY!X43/2,0))</f>
        <v>0</v>
      </c>
      <c r="Z44" s="40"/>
      <c r="AA44" s="633" t="s">
        <v>48</v>
      </c>
      <c r="AB44" s="634">
        <f t="shared" ref="AB44:AD44" si="124">SUM(AB9:AB43)</f>
        <v>48425</v>
      </c>
      <c r="AC44" s="634">
        <f t="shared" si="124"/>
        <v>4846</v>
      </c>
      <c r="AD44" s="634">
        <f t="shared" si="124"/>
        <v>43579</v>
      </c>
      <c r="AE44" s="40"/>
      <c r="AF44" s="1"/>
      <c r="AG44" s="1"/>
      <c r="AH44" s="1"/>
      <c r="AI44" s="40"/>
      <c r="AJ44" s="1"/>
      <c r="AK44" s="4"/>
      <c r="AL44" s="482"/>
      <c r="AM44" s="40"/>
      <c r="AN44" s="1"/>
      <c r="AO44" s="1"/>
      <c r="AP44" s="4"/>
      <c r="AQ44" s="1"/>
      <c r="AR44" s="1"/>
      <c r="AS44" s="1"/>
      <c r="AT44" s="1"/>
      <c r="AU44" s="1"/>
      <c r="AV44" s="40"/>
      <c r="AW44" s="1"/>
      <c r="AX44" s="506"/>
      <c r="AY44" s="506"/>
      <c r="AZ44" s="506"/>
      <c r="BA44" s="506"/>
      <c r="BB44" s="506"/>
      <c r="BC44" s="506"/>
      <c r="BD44" s="546"/>
      <c r="BE44" s="506"/>
      <c r="BF44" s="506"/>
      <c r="BG44" s="506"/>
      <c r="BH44" s="506"/>
      <c r="BI44" s="506"/>
      <c r="BJ44" s="546"/>
      <c r="BK44" s="506"/>
      <c r="BL44" s="506"/>
      <c r="BM44" s="506"/>
      <c r="BN44" s="506"/>
      <c r="BO44" s="506"/>
      <c r="BP44" s="16"/>
      <c r="BQ44" s="16"/>
      <c r="BR44" s="16"/>
      <c r="BS44" s="16"/>
      <c r="BT44" s="26"/>
      <c r="BU44" s="16"/>
      <c r="BV44" s="16"/>
      <c r="BW44" s="16"/>
    </row>
    <row r="45" spans="1:75" ht="15.75" hidden="1" customHeight="1">
      <c r="A45" s="40"/>
      <c r="B45" s="497">
        <v>61960</v>
      </c>
      <c r="C45" s="497">
        <f t="shared" ref="C45:D45" si="125">B46</f>
        <v>63660</v>
      </c>
      <c r="D45" s="509">
        <f t="shared" si="125"/>
        <v>65360</v>
      </c>
      <c r="E45" s="223">
        <v>65360</v>
      </c>
      <c r="F45" s="40"/>
      <c r="G45" s="556">
        <v>45323</v>
      </c>
      <c r="H45" s="1"/>
      <c r="I45" s="40"/>
      <c r="J45" s="1"/>
      <c r="K45" s="635">
        <v>1</v>
      </c>
      <c r="L45" s="40"/>
      <c r="M45" s="1"/>
      <c r="N45" s="1"/>
      <c r="O45" s="636"/>
      <c r="P45" s="1"/>
      <c r="Q45" s="636"/>
      <c r="R45" s="1"/>
      <c r="S45" s="40"/>
      <c r="T45" s="614">
        <f>IF(DATA!D9="N.A.",0,T44+1)</f>
        <v>31</v>
      </c>
      <c r="U45" s="637" t="s">
        <v>586</v>
      </c>
      <c r="V45" s="1"/>
      <c r="W45" s="1"/>
      <c r="X45" s="1"/>
      <c r="Y45" s="3"/>
      <c r="Z45" s="40"/>
      <c r="AA45" s="617" t="s">
        <v>587</v>
      </c>
      <c r="AB45" s="545"/>
      <c r="AC45" s="545"/>
      <c r="AD45" s="545"/>
      <c r="AE45" s="40"/>
      <c r="AF45" s="1"/>
      <c r="AG45" s="1"/>
      <c r="AH45" s="1"/>
      <c r="AI45" s="40"/>
      <c r="AJ45" s="1"/>
      <c r="AK45" s="4"/>
      <c r="AL45" s="482"/>
      <c r="AM45" s="40"/>
      <c r="AN45" s="1"/>
      <c r="AO45" s="1"/>
      <c r="AP45" s="4"/>
      <c r="AQ45" s="1"/>
      <c r="AR45" s="1"/>
      <c r="AS45" s="1"/>
      <c r="AT45" s="1"/>
      <c r="AU45" s="1"/>
      <c r="AV45" s="40"/>
      <c r="AW45" s="1"/>
      <c r="AX45" s="506"/>
      <c r="AY45" s="506"/>
      <c r="AZ45" s="506"/>
      <c r="BA45" s="506"/>
      <c r="BB45" s="506"/>
      <c r="BC45" s="506"/>
      <c r="BD45" s="546"/>
      <c r="BE45" s="506"/>
      <c r="BF45" s="506"/>
      <c r="BG45" s="506"/>
      <c r="BH45" s="506"/>
      <c r="BI45" s="506"/>
      <c r="BJ45" s="546"/>
      <c r="BK45" s="506"/>
      <c r="BL45" s="506"/>
      <c r="BM45" s="506"/>
      <c r="BN45" s="506"/>
      <c r="BO45" s="506"/>
      <c r="BP45" s="16"/>
      <c r="BQ45" s="16"/>
      <c r="BR45" s="16"/>
      <c r="BS45" s="16"/>
      <c r="BT45" s="26"/>
      <c r="BU45" s="16"/>
      <c r="BV45" s="16"/>
      <c r="BW45" s="16"/>
    </row>
    <row r="46" spans="1:75" ht="15.75" hidden="1" customHeight="1">
      <c r="A46" s="40"/>
      <c r="B46" s="497">
        <v>63660</v>
      </c>
      <c r="C46" s="497">
        <f t="shared" ref="C46:D46" si="126">B47</f>
        <v>65360</v>
      </c>
      <c r="D46" s="509">
        <f t="shared" si="126"/>
        <v>67190</v>
      </c>
      <c r="E46" s="223">
        <v>67190</v>
      </c>
      <c r="F46" s="40"/>
      <c r="G46" s="556">
        <v>45352</v>
      </c>
      <c r="H46" s="556" t="s">
        <v>82</v>
      </c>
      <c r="I46" s="40"/>
      <c r="J46" s="1"/>
      <c r="K46" s="635">
        <v>2</v>
      </c>
      <c r="L46" s="40"/>
      <c r="M46" s="1"/>
      <c r="N46" s="1"/>
      <c r="O46" s="1"/>
      <c r="P46" s="1"/>
      <c r="Q46" s="1"/>
      <c r="R46" s="1"/>
      <c r="S46" s="40"/>
      <c r="T46" s="638">
        <f>IF(DATA!D9="N.A.",0,DATA!E9)</f>
        <v>14</v>
      </c>
      <c r="U46" s="521" t="s">
        <v>588</v>
      </c>
      <c r="V46" s="1"/>
      <c r="W46" s="1"/>
      <c r="X46" s="639" t="s">
        <v>589</v>
      </c>
      <c r="Y46" s="3">
        <f>IF(AND(VALUE(AA46)&gt;=VALUE(AA9),VALUE(AA46)&lt;VALUE(AA39)),T52,0)</f>
        <v>0</v>
      </c>
      <c r="Z46" s="40"/>
      <c r="AA46" s="626">
        <f>IF(DATA!D9="N.A.",0,DATA!D9)</f>
        <v>45658</v>
      </c>
      <c r="AB46" s="545">
        <f>ROUND(Y46*$AD$5*100%,0) - ROUND(Y46*$AD$4*100%,0)</f>
        <v>0</v>
      </c>
      <c r="AC46" s="545">
        <f>IF(AB46=0,0,ROUND(Y46*$AD$5*10%,0) - ROUND(Y46*$AD$4*10%,0))</f>
        <v>0</v>
      </c>
      <c r="AD46" s="545">
        <f>AB46-AC46</f>
        <v>0</v>
      </c>
      <c r="AE46" s="40"/>
      <c r="AF46" s="1"/>
      <c r="AG46" s="1"/>
      <c r="AH46" s="1"/>
      <c r="AI46" s="40"/>
      <c r="AJ46" s="1"/>
      <c r="AK46" s="4"/>
      <c r="AL46" s="482"/>
      <c r="AM46" s="40"/>
      <c r="AN46" s="1"/>
      <c r="AO46" s="1"/>
      <c r="AP46" s="4"/>
      <c r="AQ46" s="1"/>
      <c r="AR46" s="1"/>
      <c r="AS46" s="1"/>
      <c r="AT46" s="1"/>
      <c r="AU46" s="1"/>
      <c r="AV46" s="40"/>
      <c r="AW46" s="1"/>
      <c r="AX46" s="506"/>
      <c r="AY46" s="506"/>
      <c r="AZ46" s="506"/>
      <c r="BA46" s="506"/>
      <c r="BB46" s="506"/>
      <c r="BC46" s="506"/>
      <c r="BD46" s="546"/>
      <c r="BE46" s="506"/>
      <c r="BF46" s="506"/>
      <c r="BG46" s="506"/>
      <c r="BH46" s="506"/>
      <c r="BI46" s="506"/>
      <c r="BJ46" s="546"/>
      <c r="BK46" s="506"/>
      <c r="BL46" s="506"/>
      <c r="BM46" s="506"/>
      <c r="BN46" s="506"/>
      <c r="BO46" s="506"/>
      <c r="BP46" s="16"/>
      <c r="BQ46" s="16"/>
      <c r="BR46" s="16"/>
      <c r="BS46" s="16"/>
      <c r="BT46" s="26"/>
      <c r="BU46" s="16"/>
      <c r="BV46" s="16"/>
      <c r="BW46" s="16"/>
    </row>
    <row r="47" spans="1:75" ht="15.75" hidden="1" customHeight="1">
      <c r="A47" s="40"/>
      <c r="B47" s="497">
        <v>65360</v>
      </c>
      <c r="C47" s="497">
        <f t="shared" ref="C47:D47" si="127">B48</f>
        <v>67190</v>
      </c>
      <c r="D47" s="509">
        <f t="shared" si="127"/>
        <v>69020</v>
      </c>
      <c r="E47" s="223">
        <v>69020</v>
      </c>
      <c r="F47" s="40"/>
      <c r="G47" s="556">
        <v>45383</v>
      </c>
      <c r="H47" s="556">
        <f t="shared" ref="H47:H57" si="128">G47</f>
        <v>45383</v>
      </c>
      <c r="I47" s="40"/>
      <c r="J47" s="1"/>
      <c r="K47" s="635">
        <v>3</v>
      </c>
      <c r="L47" s="40"/>
      <c r="M47" s="1"/>
      <c r="N47" s="1"/>
      <c r="O47" s="1"/>
      <c r="P47" s="1"/>
      <c r="Q47" s="1"/>
      <c r="R47" s="1"/>
      <c r="S47" s="40"/>
      <c r="T47" s="638">
        <f>IF(DATA!D9="N.A.",0,T45-T46+1)</f>
        <v>18</v>
      </c>
      <c r="U47" s="521" t="s">
        <v>590</v>
      </c>
      <c r="V47" s="1"/>
      <c r="W47" s="1"/>
      <c r="X47" s="1"/>
      <c r="Y47" s="3"/>
      <c r="Z47" s="40"/>
      <c r="AA47" s="633" t="s">
        <v>48</v>
      </c>
      <c r="AB47" s="634">
        <f t="shared" ref="AB47:AD47" si="129">SUM(AB44,AB46)</f>
        <v>48425</v>
      </c>
      <c r="AC47" s="634">
        <f t="shared" si="129"/>
        <v>4846</v>
      </c>
      <c r="AD47" s="634">
        <f t="shared" si="129"/>
        <v>43579</v>
      </c>
      <c r="AE47" s="40"/>
      <c r="AF47" s="1"/>
      <c r="AG47" s="1"/>
      <c r="AH47" s="1"/>
      <c r="AI47" s="40"/>
      <c r="AJ47" s="1"/>
      <c r="AK47" s="4"/>
      <c r="AL47" s="482"/>
      <c r="AM47" s="40"/>
      <c r="AN47" s="1"/>
      <c r="AO47" s="1"/>
      <c r="AP47" s="4"/>
      <c r="AQ47" s="1"/>
      <c r="AR47" s="1"/>
      <c r="AS47" s="1"/>
      <c r="AT47" s="1"/>
      <c r="AU47" s="1"/>
      <c r="AV47" s="40"/>
      <c r="AW47" s="1"/>
      <c r="AX47" s="506"/>
      <c r="AY47" s="506"/>
      <c r="AZ47" s="506"/>
      <c r="BA47" s="506"/>
      <c r="BB47" s="506"/>
      <c r="BC47" s="506"/>
      <c r="BD47" s="546"/>
      <c r="BE47" s="506"/>
      <c r="BF47" s="506"/>
      <c r="BG47" s="506"/>
      <c r="BH47" s="506"/>
      <c r="BI47" s="506"/>
      <c r="BJ47" s="546"/>
      <c r="BK47" s="506"/>
      <c r="BL47" s="506"/>
      <c r="BM47" s="506"/>
      <c r="BN47" s="506"/>
      <c r="BO47" s="506"/>
      <c r="BP47" s="16"/>
      <c r="BQ47" s="16"/>
      <c r="BR47" s="16"/>
      <c r="BS47" s="16"/>
      <c r="BT47" s="26"/>
      <c r="BU47" s="16"/>
      <c r="BV47" s="16"/>
      <c r="BW47" s="16"/>
    </row>
    <row r="48" spans="1:75" ht="15.75" hidden="1" customHeight="1">
      <c r="A48" s="40"/>
      <c r="B48" s="497">
        <v>67190</v>
      </c>
      <c r="C48" s="497">
        <f t="shared" ref="C48:D48" si="130">B49</f>
        <v>69020</v>
      </c>
      <c r="D48" s="509">
        <f t="shared" si="130"/>
        <v>70850</v>
      </c>
      <c r="E48" s="223">
        <v>70850</v>
      </c>
      <c r="F48" s="40"/>
      <c r="G48" s="556">
        <v>45413</v>
      </c>
      <c r="H48" s="556">
        <f t="shared" si="128"/>
        <v>45413</v>
      </c>
      <c r="I48" s="40"/>
      <c r="J48" s="1"/>
      <c r="K48" s="635">
        <v>4</v>
      </c>
      <c r="L48" s="40"/>
      <c r="M48" s="1"/>
      <c r="N48" s="1"/>
      <c r="O48" s="636"/>
      <c r="P48" s="1"/>
      <c r="Q48" s="636"/>
      <c r="R48" s="1"/>
      <c r="S48" s="40"/>
      <c r="T48" s="638">
        <f>IF(DATA!D9="N.A.",0,T45-T47)</f>
        <v>13</v>
      </c>
      <c r="U48" s="521" t="s">
        <v>591</v>
      </c>
      <c r="V48" s="1"/>
      <c r="W48" s="1"/>
      <c r="X48" s="1"/>
      <c r="Y48" s="3"/>
      <c r="Z48" s="40"/>
      <c r="AA48" s="1"/>
      <c r="AB48" s="1"/>
      <c r="AC48" s="1"/>
      <c r="AD48" s="1"/>
      <c r="AE48" s="40"/>
      <c r="AF48" s="1"/>
      <c r="AG48" s="1"/>
      <c r="AH48" s="1"/>
      <c r="AI48" s="40"/>
      <c r="AJ48" s="1"/>
      <c r="AK48" s="4"/>
      <c r="AL48" s="482"/>
      <c r="AM48" s="40"/>
      <c r="AN48" s="1"/>
      <c r="AO48" s="1"/>
      <c r="AP48" s="4"/>
      <c r="AQ48" s="1"/>
      <c r="AR48" s="1"/>
      <c r="AS48" s="1"/>
      <c r="AT48" s="1"/>
      <c r="AU48" s="1"/>
      <c r="AV48" s="40"/>
      <c r="AW48" s="1"/>
      <c r="AX48" s="506"/>
      <c r="AY48" s="506"/>
      <c r="AZ48" s="506"/>
      <c r="BA48" s="506"/>
      <c r="BB48" s="506"/>
      <c r="BC48" s="506"/>
      <c r="BD48" s="546"/>
      <c r="BE48" s="506"/>
      <c r="BF48" s="506"/>
      <c r="BG48" s="506"/>
      <c r="BH48" s="506"/>
      <c r="BI48" s="506"/>
      <c r="BJ48" s="546"/>
      <c r="BK48" s="506"/>
      <c r="BL48" s="506"/>
      <c r="BM48" s="506"/>
      <c r="BN48" s="506"/>
      <c r="BO48" s="506"/>
      <c r="BP48" s="16"/>
      <c r="BQ48" s="16"/>
      <c r="BR48" s="16"/>
      <c r="BS48" s="16"/>
      <c r="BT48" s="26"/>
      <c r="BU48" s="16"/>
      <c r="BV48" s="16"/>
      <c r="BW48" s="16"/>
    </row>
    <row r="49" spans="1:75" ht="15.75" hidden="1" customHeight="1">
      <c r="A49" s="40"/>
      <c r="B49" s="497">
        <v>69020</v>
      </c>
      <c r="C49" s="497">
        <f t="shared" ref="C49:D49" si="131">B50</f>
        <v>70850</v>
      </c>
      <c r="D49" s="509">
        <f t="shared" si="131"/>
        <v>72810</v>
      </c>
      <c r="E49" s="223">
        <v>72810</v>
      </c>
      <c r="F49" s="40"/>
      <c r="G49" s="556">
        <v>45444</v>
      </c>
      <c r="H49" s="556">
        <f t="shared" si="128"/>
        <v>45444</v>
      </c>
      <c r="I49" s="40"/>
      <c r="J49" s="1"/>
      <c r="K49" s="635">
        <v>5</v>
      </c>
      <c r="L49" s="40"/>
      <c r="M49" s="1"/>
      <c r="N49" s="1"/>
      <c r="O49" s="1"/>
      <c r="P49" s="1"/>
      <c r="Q49" s="1"/>
      <c r="R49" s="1"/>
      <c r="S49" s="40"/>
      <c r="T49" s="614"/>
      <c r="U49" s="614"/>
      <c r="V49" s="1"/>
      <c r="W49" s="1"/>
      <c r="X49" s="1"/>
      <c r="Y49" s="3"/>
      <c r="Z49" s="40"/>
      <c r="AA49" s="1"/>
      <c r="AB49" s="1"/>
      <c r="AC49" s="1"/>
      <c r="AD49" s="1"/>
      <c r="AE49" s="40"/>
      <c r="AF49" s="1"/>
      <c r="AG49" s="1"/>
      <c r="AH49" s="1"/>
      <c r="AI49" s="40"/>
      <c r="AJ49" s="1"/>
      <c r="AK49" s="4"/>
      <c r="AL49" s="482"/>
      <c r="AM49" s="40"/>
      <c r="AN49" s="1"/>
      <c r="AO49" s="1"/>
      <c r="AP49" s="4"/>
      <c r="AQ49" s="1"/>
      <c r="AR49" s="1"/>
      <c r="AS49" s="1"/>
      <c r="AT49" s="1"/>
      <c r="AU49" s="1"/>
      <c r="AV49" s="40"/>
      <c r="AW49" s="1"/>
      <c r="AX49" s="506"/>
      <c r="AY49" s="506"/>
      <c r="AZ49" s="506"/>
      <c r="BA49" s="506"/>
      <c r="BB49" s="506"/>
      <c r="BC49" s="506"/>
      <c r="BD49" s="546"/>
      <c r="BE49" s="506"/>
      <c r="BF49" s="506"/>
      <c r="BG49" s="506"/>
      <c r="BH49" s="506"/>
      <c r="BI49" s="506"/>
      <c r="BJ49" s="546"/>
      <c r="BK49" s="506"/>
      <c r="BL49" s="506"/>
      <c r="BM49" s="506"/>
      <c r="BN49" s="506"/>
      <c r="BO49" s="506"/>
      <c r="BP49" s="16"/>
      <c r="BQ49" s="16"/>
      <c r="BR49" s="16"/>
      <c r="BS49" s="16"/>
      <c r="BT49" s="26"/>
      <c r="BU49" s="16"/>
      <c r="BV49" s="16"/>
      <c r="BW49" s="16"/>
    </row>
    <row r="50" spans="1:75" ht="15.75" hidden="1" customHeight="1">
      <c r="A50" s="40"/>
      <c r="B50" s="497">
        <v>70850</v>
      </c>
      <c r="C50" s="497">
        <f t="shared" ref="C50:D50" si="132">B51</f>
        <v>72810</v>
      </c>
      <c r="D50" s="509">
        <f t="shared" si="132"/>
        <v>74770</v>
      </c>
      <c r="E50" s="223">
        <v>74770</v>
      </c>
      <c r="F50" s="40"/>
      <c r="G50" s="556">
        <v>45474</v>
      </c>
      <c r="H50" s="556">
        <f t="shared" si="128"/>
        <v>45474</v>
      </c>
      <c r="I50" s="40"/>
      <c r="J50" s="1"/>
      <c r="K50" s="635">
        <v>6</v>
      </c>
      <c r="L50" s="40"/>
      <c r="M50" s="1"/>
      <c r="N50" s="1"/>
      <c r="O50" s="1"/>
      <c r="P50" s="1"/>
      <c r="Q50" s="1"/>
      <c r="R50" s="1"/>
      <c r="S50" s="40"/>
      <c r="T50" s="640">
        <f>LOOKUP(H11,M3:M41,R3:R41)</f>
        <v>70850</v>
      </c>
      <c r="U50" s="614" t="str">
        <f>"* "&amp;T47&amp;" / "&amp;T45</f>
        <v>* 18 / 31</v>
      </c>
      <c r="V50" s="1"/>
      <c r="W50" s="1"/>
      <c r="X50" s="1"/>
      <c r="Y50" s="3"/>
      <c r="Z50" s="40"/>
      <c r="AA50" s="1"/>
      <c r="AB50" s="1"/>
      <c r="AC50" s="1"/>
      <c r="AD50" s="1"/>
      <c r="AE50" s="40"/>
      <c r="AF50" s="1"/>
      <c r="AG50" s="1"/>
      <c r="AH50" s="1"/>
      <c r="AI50" s="40"/>
      <c r="AJ50" s="1"/>
      <c r="AK50" s="4"/>
      <c r="AL50" s="482"/>
      <c r="AM50" s="40"/>
      <c r="AN50" s="1"/>
      <c r="AO50" s="1"/>
      <c r="AP50" s="4"/>
      <c r="AQ50" s="1"/>
      <c r="AR50" s="1"/>
      <c r="AS50" s="1"/>
      <c r="AT50" s="1"/>
      <c r="AU50" s="1"/>
      <c r="AV50" s="40"/>
      <c r="AW50" s="1"/>
      <c r="AX50" s="506"/>
      <c r="AY50" s="506"/>
      <c r="AZ50" s="506"/>
      <c r="BA50" s="506"/>
      <c r="BB50" s="506"/>
      <c r="BC50" s="506"/>
      <c r="BD50" s="546"/>
      <c r="BE50" s="506"/>
      <c r="BF50" s="506"/>
      <c r="BG50" s="506"/>
      <c r="BH50" s="506"/>
      <c r="BI50" s="506"/>
      <c r="BJ50" s="546"/>
      <c r="BK50" s="506"/>
      <c r="BL50" s="506"/>
      <c r="BM50" s="506"/>
      <c r="BN50" s="506"/>
      <c r="BO50" s="506"/>
      <c r="BP50" s="16"/>
      <c r="BQ50" s="16"/>
      <c r="BR50" s="16"/>
      <c r="BS50" s="16"/>
      <c r="BT50" s="26"/>
      <c r="BU50" s="16"/>
      <c r="BV50" s="16"/>
      <c r="BW50" s="16"/>
    </row>
    <row r="51" spans="1:75" ht="15.75" hidden="1" customHeight="1">
      <c r="A51" s="40"/>
      <c r="B51" s="497">
        <v>72810</v>
      </c>
      <c r="C51" s="497">
        <f t="shared" ref="C51:D51" si="133">B52</f>
        <v>74770</v>
      </c>
      <c r="D51" s="509">
        <f t="shared" si="133"/>
        <v>76730</v>
      </c>
      <c r="E51" s="223">
        <v>76730</v>
      </c>
      <c r="F51" s="40"/>
      <c r="G51" s="556">
        <v>45505</v>
      </c>
      <c r="H51" s="556">
        <f t="shared" si="128"/>
        <v>45505</v>
      </c>
      <c r="I51" s="40"/>
      <c r="J51" s="1"/>
      <c r="K51" s="635">
        <v>7</v>
      </c>
      <c r="L51" s="40"/>
      <c r="M51" s="1"/>
      <c r="N51" s="1"/>
      <c r="O51" s="1"/>
      <c r="P51" s="1"/>
      <c r="Q51" s="1"/>
      <c r="R51" s="1"/>
      <c r="S51" s="40"/>
      <c r="T51" s="614">
        <f>LOOKUP(T50,BP_2021,BP_2020)</f>
        <v>69020</v>
      </c>
      <c r="U51" s="614" t="str">
        <f>"* "&amp;T48&amp;" / "&amp;T45</f>
        <v>* 13 / 31</v>
      </c>
      <c r="V51" s="1"/>
      <c r="W51" s="1"/>
      <c r="X51" s="1"/>
      <c r="Y51" s="3"/>
      <c r="Z51" s="40"/>
      <c r="AA51" s="1"/>
      <c r="AB51" s="1"/>
      <c r="AC51" s="1"/>
      <c r="AD51" s="1"/>
      <c r="AE51" s="40"/>
      <c r="AF51" s="1"/>
      <c r="AG51" s="1"/>
      <c r="AH51" s="1"/>
      <c r="AI51" s="40"/>
      <c r="AJ51" s="1"/>
      <c r="AK51" s="4"/>
      <c r="AL51" s="482"/>
      <c r="AM51" s="40"/>
      <c r="AN51" s="1"/>
      <c r="AO51" s="1"/>
      <c r="AP51" s="4"/>
      <c r="AQ51" s="1"/>
      <c r="AR51" s="1"/>
      <c r="AS51" s="1"/>
      <c r="AT51" s="1"/>
      <c r="AU51" s="1"/>
      <c r="AV51" s="40"/>
      <c r="AW51" s="1"/>
      <c r="AX51" s="506"/>
      <c r="AY51" s="506"/>
      <c r="AZ51" s="506"/>
      <c r="BA51" s="506"/>
      <c r="BB51" s="506"/>
      <c r="BC51" s="506"/>
      <c r="BD51" s="546"/>
      <c r="BE51" s="506"/>
      <c r="BF51" s="506"/>
      <c r="BG51" s="506"/>
      <c r="BH51" s="506"/>
      <c r="BI51" s="506"/>
      <c r="BJ51" s="546"/>
      <c r="BK51" s="506"/>
      <c r="BL51" s="506"/>
      <c r="BM51" s="506"/>
      <c r="BN51" s="506"/>
      <c r="BO51" s="506"/>
      <c r="BP51" s="16"/>
      <c r="BQ51" s="16"/>
      <c r="BR51" s="16"/>
      <c r="BS51" s="16"/>
      <c r="BT51" s="26"/>
      <c r="BU51" s="16"/>
      <c r="BV51" s="16"/>
      <c r="BW51" s="16"/>
    </row>
    <row r="52" spans="1:75" ht="15.75" hidden="1" customHeight="1">
      <c r="A52" s="40"/>
      <c r="B52" s="497">
        <v>74770</v>
      </c>
      <c r="C52" s="497">
        <f t="shared" ref="C52:D52" si="134">B53</f>
        <v>76730</v>
      </c>
      <c r="D52" s="509">
        <f t="shared" si="134"/>
        <v>78820</v>
      </c>
      <c r="E52" s="223">
        <v>78820</v>
      </c>
      <c r="F52" s="40"/>
      <c r="G52" s="556">
        <v>45536</v>
      </c>
      <c r="H52" s="556">
        <f t="shared" si="128"/>
        <v>45536</v>
      </c>
      <c r="I52" s="40"/>
      <c r="J52" s="1"/>
      <c r="K52" s="635">
        <v>8</v>
      </c>
      <c r="L52" s="40"/>
      <c r="M52" s="1"/>
      <c r="N52" s="1"/>
      <c r="O52" s="1"/>
      <c r="P52" s="1"/>
      <c r="Q52" s="1"/>
      <c r="R52" s="1"/>
      <c r="S52" s="40"/>
      <c r="T52" s="614">
        <f>IF(DATA!D9="",0,IF(DATA!D9="N.A.",0,ROUND((T50-T51)/T45*T47,0)))</f>
        <v>1063</v>
      </c>
      <c r="U52" s="614" t="s">
        <v>175</v>
      </c>
      <c r="V52" s="1"/>
      <c r="W52" s="1"/>
      <c r="X52" s="1"/>
      <c r="Y52" s="3"/>
      <c r="Z52" s="40"/>
      <c r="AA52" s="1"/>
      <c r="AB52" s="1"/>
      <c r="AC52" s="1"/>
      <c r="AD52" s="1"/>
      <c r="AE52" s="40"/>
      <c r="AF52" s="1"/>
      <c r="AG52" s="1"/>
      <c r="AH52" s="1"/>
      <c r="AI52" s="40"/>
      <c r="AJ52" s="1"/>
      <c r="AK52" s="4"/>
      <c r="AL52" s="482"/>
      <c r="AM52" s="40"/>
      <c r="AN52" s="1"/>
      <c r="AO52" s="1"/>
      <c r="AP52" s="4"/>
      <c r="AQ52" s="1"/>
      <c r="AR52" s="1"/>
      <c r="AS52" s="1"/>
      <c r="AT52" s="1"/>
      <c r="AU52" s="1"/>
      <c r="AV52" s="40"/>
      <c r="AW52" s="1"/>
      <c r="AX52" s="506"/>
      <c r="AY52" s="506"/>
      <c r="AZ52" s="506"/>
      <c r="BA52" s="506"/>
      <c r="BB52" s="506"/>
      <c r="BC52" s="506"/>
      <c r="BD52" s="546"/>
      <c r="BE52" s="506"/>
      <c r="BF52" s="506"/>
      <c r="BG52" s="506"/>
      <c r="BH52" s="506"/>
      <c r="BI52" s="506"/>
      <c r="BJ52" s="546"/>
      <c r="BK52" s="506"/>
      <c r="BL52" s="506"/>
      <c r="BM52" s="506"/>
      <c r="BN52" s="506"/>
      <c r="BO52" s="506"/>
      <c r="BP52" s="16"/>
      <c r="BQ52" s="16"/>
      <c r="BR52" s="16"/>
      <c r="BS52" s="16"/>
      <c r="BT52" s="26"/>
      <c r="BU52" s="16"/>
      <c r="BV52" s="16"/>
      <c r="BW52" s="16"/>
    </row>
    <row r="53" spans="1:75" ht="15.75" hidden="1" customHeight="1">
      <c r="A53" s="40"/>
      <c r="B53" s="497">
        <v>76730</v>
      </c>
      <c r="C53" s="497">
        <f t="shared" ref="C53:D53" si="135">B54</f>
        <v>78820</v>
      </c>
      <c r="D53" s="509">
        <f t="shared" si="135"/>
        <v>80910</v>
      </c>
      <c r="E53" s="223">
        <v>80910</v>
      </c>
      <c r="F53" s="40"/>
      <c r="G53" s="556">
        <v>45566</v>
      </c>
      <c r="H53" s="556">
        <f t="shared" si="128"/>
        <v>45566</v>
      </c>
      <c r="I53" s="40"/>
      <c r="J53" s="1"/>
      <c r="K53" s="635">
        <v>9</v>
      </c>
      <c r="L53" s="40"/>
      <c r="M53" s="1"/>
      <c r="N53" s="1"/>
      <c r="O53" s="1"/>
      <c r="P53" s="1"/>
      <c r="Q53" s="1"/>
      <c r="R53" s="1"/>
      <c r="S53" s="40"/>
      <c r="T53" s="641">
        <f>IFERROR(IF(DATA!D9="",0,IF(DATA!D9="N.A.",0,LOOKUP(DATA!D9,T3:T14,W3:W14))),20.02%)</f>
        <v>0.3367</v>
      </c>
      <c r="U53" s="614" t="s">
        <v>159</v>
      </c>
      <c r="V53" s="1"/>
      <c r="W53" s="1"/>
      <c r="X53" s="1"/>
      <c r="Y53" s="3"/>
      <c r="Z53" s="40"/>
      <c r="AA53" s="1"/>
      <c r="AB53" s="1"/>
      <c r="AC53" s="1"/>
      <c r="AD53" s="1"/>
      <c r="AE53" s="40"/>
      <c r="AF53" s="1"/>
      <c r="AG53" s="1"/>
      <c r="AH53" s="1"/>
      <c r="AI53" s="40"/>
      <c r="AJ53" s="1"/>
      <c r="AK53" s="4"/>
      <c r="AL53" s="482"/>
      <c r="AM53" s="40"/>
      <c r="AN53" s="1"/>
      <c r="AO53" s="1"/>
      <c r="AP53" s="4"/>
      <c r="AQ53" s="1"/>
      <c r="AR53" s="1"/>
      <c r="AS53" s="1"/>
      <c r="AT53" s="1"/>
      <c r="AU53" s="1"/>
      <c r="AV53" s="40"/>
      <c r="AW53" s="1"/>
      <c r="AX53" s="506"/>
      <c r="AY53" s="506"/>
      <c r="AZ53" s="506"/>
      <c r="BA53" s="506"/>
      <c r="BB53" s="506"/>
      <c r="BC53" s="506"/>
      <c r="BD53" s="546"/>
      <c r="BE53" s="506"/>
      <c r="BF53" s="506"/>
      <c r="BG53" s="506"/>
      <c r="BH53" s="506"/>
      <c r="BI53" s="506"/>
      <c r="BJ53" s="546"/>
      <c r="BK53" s="506"/>
      <c r="BL53" s="506"/>
      <c r="BM53" s="506"/>
      <c r="BN53" s="506"/>
      <c r="BO53" s="506"/>
      <c r="BP53" s="16"/>
      <c r="BQ53" s="16"/>
      <c r="BR53" s="16"/>
      <c r="BS53" s="16"/>
      <c r="BT53" s="26"/>
      <c r="BU53" s="16"/>
      <c r="BV53" s="16"/>
      <c r="BW53" s="16"/>
    </row>
    <row r="54" spans="1:75" ht="15.75" hidden="1" customHeight="1">
      <c r="A54" s="40"/>
      <c r="B54" s="497">
        <v>78820</v>
      </c>
      <c r="C54" s="497">
        <f t="shared" ref="C54:D54" si="136">B55</f>
        <v>80910</v>
      </c>
      <c r="D54" s="509">
        <f t="shared" si="136"/>
        <v>83000</v>
      </c>
      <c r="E54" s="223">
        <v>83000</v>
      </c>
      <c r="F54" s="40"/>
      <c r="G54" s="556">
        <v>45597</v>
      </c>
      <c r="H54" s="556">
        <f t="shared" si="128"/>
        <v>45597</v>
      </c>
      <c r="I54" s="40"/>
      <c r="J54" s="1"/>
      <c r="K54" s="635">
        <v>10</v>
      </c>
      <c r="L54" s="40"/>
      <c r="M54" s="1"/>
      <c r="N54" s="1"/>
      <c r="O54" s="1"/>
      <c r="P54" s="1"/>
      <c r="Q54" s="1"/>
      <c r="R54" s="1"/>
      <c r="S54" s="40"/>
      <c r="T54" s="641">
        <f>IFERROR(IF(DATA!D9="",0,IF(DATA!D9="N.A.",0,LOOKUP(DATA!D9,T3:T14,X3:X14))),50%)</f>
        <v>0.1</v>
      </c>
      <c r="U54" s="614" t="s">
        <v>139</v>
      </c>
      <c r="V54" s="1"/>
      <c r="W54" s="1"/>
      <c r="X54" s="1"/>
      <c r="Y54" s="3"/>
      <c r="Z54" s="40"/>
      <c r="AA54" s="1"/>
      <c r="AB54" s="1"/>
      <c r="AC54" s="1"/>
      <c r="AD54" s="1"/>
      <c r="AE54" s="40"/>
      <c r="AF54" s="1"/>
      <c r="AG54" s="1"/>
      <c r="AH54" s="1"/>
      <c r="AI54" s="40"/>
      <c r="AJ54" s="1"/>
      <c r="AK54" s="4"/>
      <c r="AL54" s="482"/>
      <c r="AM54" s="40"/>
      <c r="AN54" s="1"/>
      <c r="AO54" s="1"/>
      <c r="AP54" s="4"/>
      <c r="AQ54" s="1"/>
      <c r="AR54" s="1"/>
      <c r="AS54" s="1"/>
      <c r="AT54" s="1"/>
      <c r="AU54" s="1"/>
      <c r="AV54" s="40"/>
      <c r="AW54" s="1"/>
      <c r="AX54" s="506"/>
      <c r="AY54" s="506"/>
      <c r="AZ54" s="506"/>
      <c r="BA54" s="506"/>
      <c r="BB54" s="506"/>
      <c r="BC54" s="506"/>
      <c r="BD54" s="546"/>
      <c r="BE54" s="506"/>
      <c r="BF54" s="506"/>
      <c r="BG54" s="506"/>
      <c r="BH54" s="506"/>
      <c r="BI54" s="506"/>
      <c r="BJ54" s="546"/>
      <c r="BK54" s="506"/>
      <c r="BL54" s="506"/>
      <c r="BM54" s="506"/>
      <c r="BN54" s="506"/>
      <c r="BO54" s="506"/>
      <c r="BP54" s="16"/>
      <c r="BQ54" s="16"/>
      <c r="BR54" s="16"/>
      <c r="BS54" s="16"/>
      <c r="BT54" s="26"/>
      <c r="BU54" s="16"/>
      <c r="BV54" s="16"/>
      <c r="BW54" s="16"/>
    </row>
    <row r="55" spans="1:75" ht="15.75" hidden="1" customHeight="1">
      <c r="A55" s="40"/>
      <c r="B55" s="497">
        <v>80910</v>
      </c>
      <c r="C55" s="497">
        <f t="shared" ref="C55:D55" si="137">B56</f>
        <v>83000</v>
      </c>
      <c r="D55" s="509">
        <f t="shared" si="137"/>
        <v>85240</v>
      </c>
      <c r="E55" s="223">
        <v>85240</v>
      </c>
      <c r="F55" s="40"/>
      <c r="G55" s="556">
        <v>45627</v>
      </c>
      <c r="H55" s="556">
        <f t="shared" si="128"/>
        <v>45627</v>
      </c>
      <c r="I55" s="40"/>
      <c r="J55" s="1"/>
      <c r="K55" s="635">
        <v>11</v>
      </c>
      <c r="L55" s="40"/>
      <c r="M55" s="1"/>
      <c r="N55" s="1"/>
      <c r="O55" s="1"/>
      <c r="P55" s="1"/>
      <c r="Q55" s="1"/>
      <c r="R55" s="1"/>
      <c r="S55" s="40"/>
      <c r="T55" s="1"/>
      <c r="U55" s="1"/>
      <c r="V55" s="1"/>
      <c r="W55" s="1"/>
      <c r="X55" s="1"/>
      <c r="Y55" s="3"/>
      <c r="Z55" s="40"/>
      <c r="AA55" s="1"/>
      <c r="AB55" s="1"/>
      <c r="AC55" s="1"/>
      <c r="AD55" s="1"/>
      <c r="AE55" s="40"/>
      <c r="AF55" s="1"/>
      <c r="AG55" s="1"/>
      <c r="AH55" s="1"/>
      <c r="AI55" s="40"/>
      <c r="AJ55" s="1"/>
      <c r="AK55" s="4"/>
      <c r="AL55" s="482"/>
      <c r="AM55" s="40"/>
      <c r="AN55" s="1"/>
      <c r="AO55" s="1"/>
      <c r="AP55" s="4"/>
      <c r="AQ55" s="1"/>
      <c r="AR55" s="1"/>
      <c r="AS55" s="1"/>
      <c r="AT55" s="1"/>
      <c r="AU55" s="1"/>
      <c r="AV55" s="40"/>
      <c r="AW55" s="1"/>
      <c r="AX55" s="506"/>
      <c r="AY55" s="506"/>
      <c r="AZ55" s="506"/>
      <c r="BA55" s="506"/>
      <c r="BB55" s="506"/>
      <c r="BC55" s="506"/>
      <c r="BD55" s="546"/>
      <c r="BE55" s="506"/>
      <c r="BF55" s="506"/>
      <c r="BG55" s="506"/>
      <c r="BH55" s="506"/>
      <c r="BI55" s="506"/>
      <c r="BJ55" s="546"/>
      <c r="BK55" s="506"/>
      <c r="BL55" s="506"/>
      <c r="BM55" s="506"/>
      <c r="BN55" s="506"/>
      <c r="BO55" s="506"/>
      <c r="BP55" s="16"/>
      <c r="BQ55" s="16"/>
      <c r="BR55" s="16"/>
      <c r="BS55" s="16"/>
      <c r="BT55" s="26"/>
      <c r="BU55" s="16"/>
      <c r="BV55" s="16"/>
      <c r="BW55" s="16"/>
    </row>
    <row r="56" spans="1:75" ht="15.75" hidden="1" customHeight="1">
      <c r="A56" s="40"/>
      <c r="B56" s="497">
        <v>83000</v>
      </c>
      <c r="C56" s="497">
        <f t="shared" ref="C56:D56" si="138">B57</f>
        <v>85240</v>
      </c>
      <c r="D56" s="509">
        <f t="shared" si="138"/>
        <v>87480</v>
      </c>
      <c r="E56" s="223">
        <v>87480</v>
      </c>
      <c r="F56" s="40"/>
      <c r="G56" s="556">
        <v>45658</v>
      </c>
      <c r="H56" s="556">
        <f t="shared" si="128"/>
        <v>45658</v>
      </c>
      <c r="I56" s="40"/>
      <c r="J56" s="1"/>
      <c r="K56" s="635">
        <v>12</v>
      </c>
      <c r="L56" s="40"/>
      <c r="M56" s="1"/>
      <c r="N56" s="1"/>
      <c r="O56" s="1"/>
      <c r="P56" s="1"/>
      <c r="Q56" s="1"/>
      <c r="R56" s="1"/>
      <c r="S56" s="40"/>
      <c r="T56" s="1"/>
      <c r="U56" s="1"/>
      <c r="V56" s="1"/>
      <c r="W56" s="1"/>
      <c r="X56" s="1"/>
      <c r="Y56" s="3"/>
      <c r="Z56" s="40"/>
      <c r="AA56" s="1"/>
      <c r="AB56" s="1"/>
      <c r="AC56" s="1"/>
      <c r="AD56" s="1"/>
      <c r="AE56" s="40"/>
      <c r="AF56" s="1"/>
      <c r="AG56" s="1"/>
      <c r="AH56" s="1"/>
      <c r="AI56" s="40"/>
      <c r="AJ56" s="1"/>
      <c r="AK56" s="4"/>
      <c r="AL56" s="482"/>
      <c r="AM56" s="40"/>
      <c r="AN56" s="1"/>
      <c r="AO56" s="1"/>
      <c r="AP56" s="4"/>
      <c r="AQ56" s="1"/>
      <c r="AR56" s="1"/>
      <c r="AS56" s="1"/>
      <c r="AT56" s="1"/>
      <c r="AU56" s="1"/>
      <c r="AV56" s="40"/>
      <c r="AW56" s="1"/>
      <c r="AX56" s="506"/>
      <c r="AY56" s="506"/>
      <c r="AZ56" s="506"/>
      <c r="BA56" s="506"/>
      <c r="BB56" s="506"/>
      <c r="BC56" s="506"/>
      <c r="BD56" s="546"/>
      <c r="BE56" s="506"/>
      <c r="BF56" s="506"/>
      <c r="BG56" s="506"/>
      <c r="BH56" s="506"/>
      <c r="BI56" s="506"/>
      <c r="BJ56" s="546"/>
      <c r="BK56" s="506"/>
      <c r="BL56" s="506"/>
      <c r="BM56" s="506"/>
      <c r="BN56" s="506"/>
      <c r="BO56" s="506"/>
      <c r="BP56" s="16"/>
      <c r="BQ56" s="16"/>
      <c r="BR56" s="16"/>
      <c r="BS56" s="16"/>
      <c r="BT56" s="26"/>
      <c r="BU56" s="16"/>
      <c r="BV56" s="16"/>
      <c r="BW56" s="16"/>
    </row>
    <row r="57" spans="1:75" ht="15.75" hidden="1" customHeight="1">
      <c r="A57" s="40"/>
      <c r="B57" s="497">
        <v>85240</v>
      </c>
      <c r="C57" s="497">
        <f t="shared" ref="C57:D57" si="139">B58</f>
        <v>87480</v>
      </c>
      <c r="D57" s="509">
        <f t="shared" si="139"/>
        <v>89720</v>
      </c>
      <c r="E57" s="223">
        <v>89720</v>
      </c>
      <c r="F57" s="40"/>
      <c r="G57" s="556">
        <v>45689</v>
      </c>
      <c r="H57" s="556">
        <f t="shared" si="128"/>
        <v>45689</v>
      </c>
      <c r="I57" s="40"/>
      <c r="J57" s="1"/>
      <c r="K57" s="635">
        <v>13</v>
      </c>
      <c r="L57" s="40"/>
      <c r="M57" s="1"/>
      <c r="N57" s="1"/>
      <c r="O57" s="1"/>
      <c r="P57" s="1"/>
      <c r="Q57" s="1"/>
      <c r="R57" s="1"/>
      <c r="S57" s="40"/>
      <c r="T57" s="1"/>
      <c r="U57" s="1"/>
      <c r="V57" s="1"/>
      <c r="W57" s="1"/>
      <c r="X57" s="1"/>
      <c r="Y57" s="3"/>
      <c r="Z57" s="40"/>
      <c r="AA57" s="1"/>
      <c r="AB57" s="1"/>
      <c r="AC57" s="1"/>
      <c r="AD57" s="1"/>
      <c r="AE57" s="40"/>
      <c r="AF57" s="1"/>
      <c r="AG57" s="1"/>
      <c r="AH57" s="1"/>
      <c r="AI57" s="40"/>
      <c r="AJ57" s="1"/>
      <c r="AK57" s="4"/>
      <c r="AL57" s="482"/>
      <c r="AM57" s="40"/>
      <c r="AN57" s="1"/>
      <c r="AO57" s="1"/>
      <c r="AP57" s="4"/>
      <c r="AQ57" s="1"/>
      <c r="AR57" s="1"/>
      <c r="AS57" s="1"/>
      <c r="AT57" s="1"/>
      <c r="AU57" s="1"/>
      <c r="AV57" s="40"/>
      <c r="AW57" s="1"/>
      <c r="AX57" s="506"/>
      <c r="AY57" s="506"/>
      <c r="AZ57" s="506"/>
      <c r="BA57" s="506"/>
      <c r="BB57" s="506"/>
      <c r="BC57" s="506"/>
      <c r="BD57" s="546"/>
      <c r="BE57" s="506"/>
      <c r="BF57" s="506"/>
      <c r="BG57" s="506"/>
      <c r="BH57" s="506"/>
      <c r="BI57" s="506"/>
      <c r="BJ57" s="546"/>
      <c r="BK57" s="506"/>
      <c r="BL57" s="506"/>
      <c r="BM57" s="506"/>
      <c r="BN57" s="506"/>
      <c r="BO57" s="506"/>
      <c r="BP57" s="16"/>
      <c r="BQ57" s="16"/>
      <c r="BR57" s="16"/>
      <c r="BS57" s="16"/>
      <c r="BT57" s="26"/>
      <c r="BU57" s="16"/>
      <c r="BV57" s="16"/>
      <c r="BW57" s="16"/>
    </row>
    <row r="58" spans="1:75" ht="15.75" hidden="1" customHeight="1">
      <c r="A58" s="40"/>
      <c r="B58" s="497">
        <v>87480</v>
      </c>
      <c r="C58" s="497">
        <f t="shared" ref="C58:D58" si="140">B59</f>
        <v>89720</v>
      </c>
      <c r="D58" s="509">
        <f t="shared" si="140"/>
        <v>92110</v>
      </c>
      <c r="E58" s="223">
        <v>92110</v>
      </c>
      <c r="F58" s="40"/>
      <c r="G58" s="130" t="s">
        <v>33</v>
      </c>
      <c r="H58" s="642" t="s">
        <v>82</v>
      </c>
      <c r="I58" s="40"/>
      <c r="J58" s="1"/>
      <c r="K58" s="635">
        <v>14</v>
      </c>
      <c r="L58" s="40"/>
      <c r="M58" s="1"/>
      <c r="N58" s="1"/>
      <c r="O58" s="1"/>
      <c r="P58" s="1"/>
      <c r="Q58" s="1"/>
      <c r="R58" s="1"/>
      <c r="S58" s="40"/>
      <c r="T58" s="1"/>
      <c r="U58" s="1"/>
      <c r="V58" s="1"/>
      <c r="W58" s="1"/>
      <c r="X58" s="1"/>
      <c r="Y58" s="3"/>
      <c r="Z58" s="40"/>
      <c r="AA58" s="1"/>
      <c r="AB58" s="1"/>
      <c r="AC58" s="1"/>
      <c r="AD58" s="1"/>
      <c r="AE58" s="40"/>
      <c r="AF58" s="1"/>
      <c r="AG58" s="1"/>
      <c r="AH58" s="1"/>
      <c r="AI58" s="40"/>
      <c r="AJ58" s="1"/>
      <c r="AK58" s="4"/>
      <c r="AL58" s="482"/>
      <c r="AM58" s="40"/>
      <c r="AN58" s="1"/>
      <c r="AO58" s="1"/>
      <c r="AP58" s="4"/>
      <c r="AQ58" s="1"/>
      <c r="AR58" s="1"/>
      <c r="AS58" s="1"/>
      <c r="AT58" s="1"/>
      <c r="AU58" s="1"/>
      <c r="AV58" s="40"/>
      <c r="AW58" s="1"/>
      <c r="AX58" s="506"/>
      <c r="AY58" s="506"/>
      <c r="AZ58" s="506"/>
      <c r="BA58" s="506"/>
      <c r="BB58" s="506"/>
      <c r="BC58" s="506"/>
      <c r="BD58" s="546"/>
      <c r="BE58" s="506"/>
      <c r="BF58" s="506"/>
      <c r="BG58" s="506"/>
      <c r="BH58" s="506"/>
      <c r="BI58" s="506"/>
      <c r="BJ58" s="546"/>
      <c r="BK58" s="506"/>
      <c r="BL58" s="506"/>
      <c r="BM58" s="506"/>
      <c r="BN58" s="506"/>
      <c r="BO58" s="506"/>
      <c r="BP58" s="16"/>
      <c r="BQ58" s="16"/>
      <c r="BR58" s="16"/>
      <c r="BS58" s="16"/>
      <c r="BT58" s="26"/>
      <c r="BU58" s="16"/>
      <c r="BV58" s="16"/>
      <c r="BW58" s="16"/>
    </row>
    <row r="59" spans="1:75" ht="15.75" hidden="1" customHeight="1">
      <c r="A59" s="40"/>
      <c r="B59" s="497">
        <v>89720</v>
      </c>
      <c r="C59" s="497">
        <f t="shared" ref="C59:D59" si="141">B60</f>
        <v>92110</v>
      </c>
      <c r="D59" s="509">
        <f t="shared" si="141"/>
        <v>94500</v>
      </c>
      <c r="E59" s="223">
        <v>94500</v>
      </c>
      <c r="F59" s="40"/>
      <c r="G59" s="643">
        <v>45748</v>
      </c>
      <c r="H59" s="1"/>
      <c r="I59" s="40"/>
      <c r="J59" s="1"/>
      <c r="K59" s="635">
        <v>15</v>
      </c>
      <c r="L59" s="40"/>
      <c r="M59" s="1"/>
      <c r="N59" s="1"/>
      <c r="O59" s="1"/>
      <c r="P59" s="1"/>
      <c r="Q59" s="1"/>
      <c r="R59" s="1"/>
      <c r="S59" s="40"/>
      <c r="T59" s="1"/>
      <c r="U59" s="1"/>
      <c r="V59" s="1"/>
      <c r="W59" s="1"/>
      <c r="X59" s="1"/>
      <c r="Y59" s="3"/>
      <c r="Z59" s="40"/>
      <c r="AA59" s="1"/>
      <c r="AB59" s="1"/>
      <c r="AC59" s="1"/>
      <c r="AD59" s="1"/>
      <c r="AE59" s="40"/>
      <c r="AF59" s="1"/>
      <c r="AG59" s="1"/>
      <c r="AH59" s="1"/>
      <c r="AI59" s="40"/>
      <c r="AJ59" s="1"/>
      <c r="AK59" s="4"/>
      <c r="AL59" s="482"/>
      <c r="AM59" s="40"/>
      <c r="AN59" s="1"/>
      <c r="AO59" s="1"/>
      <c r="AP59" s="4"/>
      <c r="AQ59" s="1"/>
      <c r="AR59" s="1"/>
      <c r="AS59" s="1"/>
      <c r="AT59" s="1"/>
      <c r="AU59" s="1"/>
      <c r="AV59" s="40"/>
      <c r="AW59" s="1"/>
      <c r="AX59" s="506"/>
      <c r="AY59" s="506"/>
      <c r="AZ59" s="506"/>
      <c r="BA59" s="506"/>
      <c r="BB59" s="506"/>
      <c r="BC59" s="506"/>
      <c r="BD59" s="546"/>
      <c r="BE59" s="506"/>
      <c r="BF59" s="506"/>
      <c r="BG59" s="506"/>
      <c r="BH59" s="506"/>
      <c r="BI59" s="506"/>
      <c r="BJ59" s="546"/>
      <c r="BK59" s="506"/>
      <c r="BL59" s="506"/>
      <c r="BM59" s="506"/>
      <c r="BN59" s="506"/>
      <c r="BO59" s="506"/>
      <c r="BP59" s="16"/>
      <c r="BQ59" s="16"/>
      <c r="BR59" s="16"/>
      <c r="BS59" s="16"/>
      <c r="BT59" s="26"/>
      <c r="BU59" s="16"/>
      <c r="BV59" s="16"/>
      <c r="BW59" s="16"/>
    </row>
    <row r="60" spans="1:75" ht="15.75" hidden="1" customHeight="1">
      <c r="A60" s="40"/>
      <c r="B60" s="497">
        <v>92110</v>
      </c>
      <c r="C60" s="497">
        <f t="shared" ref="C60:D60" si="142">B61</f>
        <v>94500</v>
      </c>
      <c r="D60" s="509">
        <f t="shared" si="142"/>
        <v>96890</v>
      </c>
      <c r="E60" s="223">
        <v>96890</v>
      </c>
      <c r="F60" s="40"/>
      <c r="G60" s="1"/>
      <c r="H60" s="1"/>
      <c r="I60" s="40"/>
      <c r="J60" s="1"/>
      <c r="K60" s="635">
        <v>16</v>
      </c>
      <c r="L60" s="40"/>
      <c r="M60" s="1"/>
      <c r="N60" s="1"/>
      <c r="O60" s="1"/>
      <c r="P60" s="1"/>
      <c r="Q60" s="1"/>
      <c r="R60" s="1"/>
      <c r="S60" s="40"/>
      <c r="T60" s="1"/>
      <c r="U60" s="1"/>
      <c r="V60" s="1"/>
      <c r="W60" s="1"/>
      <c r="X60" s="1"/>
      <c r="Y60" s="3"/>
      <c r="Z60" s="40"/>
      <c r="AA60" s="1"/>
      <c r="AB60" s="1"/>
      <c r="AC60" s="1"/>
      <c r="AD60" s="1"/>
      <c r="AE60" s="40"/>
      <c r="AF60" s="1"/>
      <c r="AG60" s="1"/>
      <c r="AH60" s="1"/>
      <c r="AI60" s="40"/>
      <c r="AJ60" s="1"/>
      <c r="AK60" s="4"/>
      <c r="AL60" s="482"/>
      <c r="AM60" s="40"/>
      <c r="AN60" s="1"/>
      <c r="AO60" s="1"/>
      <c r="AP60" s="4"/>
      <c r="AQ60" s="1"/>
      <c r="AR60" s="1"/>
      <c r="AS60" s="1"/>
      <c r="AT60" s="1"/>
      <c r="AU60" s="1"/>
      <c r="AV60" s="40"/>
      <c r="AW60" s="1"/>
      <c r="AX60" s="506"/>
      <c r="AY60" s="506"/>
      <c r="AZ60" s="506"/>
      <c r="BA60" s="506"/>
      <c r="BB60" s="506"/>
      <c r="BC60" s="506"/>
      <c r="BD60" s="546"/>
      <c r="BE60" s="506"/>
      <c r="BF60" s="506"/>
      <c r="BG60" s="506"/>
      <c r="BH60" s="506"/>
      <c r="BI60" s="506"/>
      <c r="BJ60" s="546"/>
      <c r="BK60" s="506"/>
      <c r="BL60" s="506"/>
      <c r="BM60" s="506"/>
      <c r="BN60" s="506"/>
      <c r="BO60" s="506"/>
      <c r="BP60" s="16"/>
      <c r="BQ60" s="16"/>
      <c r="BR60" s="16"/>
      <c r="BS60" s="16"/>
      <c r="BT60" s="26"/>
      <c r="BU60" s="16"/>
      <c r="BV60" s="16"/>
      <c r="BW60" s="16"/>
    </row>
    <row r="61" spans="1:75" ht="15.75" hidden="1" customHeight="1">
      <c r="A61" s="40"/>
      <c r="B61" s="497">
        <v>94500</v>
      </c>
      <c r="C61" s="497">
        <f t="shared" ref="C61:D61" si="143">B62</f>
        <v>96890</v>
      </c>
      <c r="D61" s="509">
        <f t="shared" si="143"/>
        <v>99430</v>
      </c>
      <c r="E61" s="223">
        <v>99430</v>
      </c>
      <c r="F61" s="40"/>
      <c r="G61" s="1"/>
      <c r="H61" s="1"/>
      <c r="I61" s="40"/>
      <c r="J61" s="1"/>
      <c r="K61" s="635">
        <v>17</v>
      </c>
      <c r="L61" s="40"/>
      <c r="M61" s="1"/>
      <c r="N61" s="1"/>
      <c r="O61" s="1"/>
      <c r="P61" s="1"/>
      <c r="Q61" s="1"/>
      <c r="R61" s="1"/>
      <c r="S61" s="40"/>
      <c r="T61" s="1"/>
      <c r="U61" s="1"/>
      <c r="V61" s="1"/>
      <c r="W61" s="1"/>
      <c r="X61" s="1"/>
      <c r="Y61" s="3"/>
      <c r="Z61" s="40"/>
      <c r="AA61" s="1"/>
      <c r="AB61" s="1"/>
      <c r="AC61" s="1"/>
      <c r="AD61" s="1"/>
      <c r="AE61" s="40"/>
      <c r="AF61" s="1"/>
      <c r="AG61" s="1"/>
      <c r="AH61" s="1"/>
      <c r="AI61" s="40"/>
      <c r="AJ61" s="1"/>
      <c r="AK61" s="4"/>
      <c r="AL61" s="482"/>
      <c r="AM61" s="40"/>
      <c r="AN61" s="1"/>
      <c r="AO61" s="1"/>
      <c r="AP61" s="4"/>
      <c r="AQ61" s="1"/>
      <c r="AR61" s="1"/>
      <c r="AS61" s="1"/>
      <c r="AT61" s="1"/>
      <c r="AU61" s="1"/>
      <c r="AV61" s="40"/>
      <c r="AW61" s="1"/>
      <c r="AX61" s="506"/>
      <c r="AY61" s="506"/>
      <c r="AZ61" s="506"/>
      <c r="BA61" s="506"/>
      <c r="BB61" s="506"/>
      <c r="BC61" s="506"/>
      <c r="BD61" s="546"/>
      <c r="BE61" s="506"/>
      <c r="BF61" s="506"/>
      <c r="BG61" s="506"/>
      <c r="BH61" s="506"/>
      <c r="BI61" s="506"/>
      <c r="BJ61" s="546"/>
      <c r="BK61" s="506"/>
      <c r="BL61" s="506"/>
      <c r="BM61" s="506"/>
      <c r="BN61" s="506"/>
      <c r="BO61" s="506"/>
      <c r="BP61" s="16"/>
      <c r="BQ61" s="16"/>
      <c r="BR61" s="16"/>
      <c r="BS61" s="16"/>
      <c r="BT61" s="26"/>
      <c r="BU61" s="16"/>
      <c r="BV61" s="16"/>
      <c r="BW61" s="16"/>
    </row>
    <row r="62" spans="1:75" ht="15.75" hidden="1" customHeight="1">
      <c r="A62" s="40"/>
      <c r="B62" s="497">
        <v>96890</v>
      </c>
      <c r="C62" s="497">
        <f t="shared" ref="C62:D62" si="144">B63</f>
        <v>99430</v>
      </c>
      <c r="D62" s="509">
        <f t="shared" si="144"/>
        <v>101970</v>
      </c>
      <c r="E62" s="223">
        <v>101970</v>
      </c>
      <c r="F62" s="40"/>
      <c r="G62" s="1"/>
      <c r="H62" s="1"/>
      <c r="I62" s="40"/>
      <c r="J62" s="1"/>
      <c r="K62" s="635">
        <v>18</v>
      </c>
      <c r="L62" s="40"/>
      <c r="M62" s="1"/>
      <c r="N62" s="1"/>
      <c r="O62" s="1"/>
      <c r="P62" s="1"/>
      <c r="Q62" s="1"/>
      <c r="R62" s="1"/>
      <c r="S62" s="40"/>
      <c r="T62" s="1"/>
      <c r="U62" s="1"/>
      <c r="V62" s="1"/>
      <c r="W62" s="1"/>
      <c r="X62" s="1"/>
      <c r="Y62" s="3"/>
      <c r="Z62" s="40"/>
      <c r="AA62" s="1"/>
      <c r="AB62" s="1"/>
      <c r="AC62" s="1"/>
      <c r="AD62" s="1"/>
      <c r="AE62" s="40"/>
      <c r="AF62" s="1"/>
      <c r="AG62" s="1"/>
      <c r="AH62" s="1"/>
      <c r="AI62" s="40"/>
      <c r="AJ62" s="1"/>
      <c r="AK62" s="4"/>
      <c r="AL62" s="482"/>
      <c r="AM62" s="40"/>
      <c r="AN62" s="1"/>
      <c r="AO62" s="1"/>
      <c r="AP62" s="4"/>
      <c r="AQ62" s="1"/>
      <c r="AR62" s="1"/>
      <c r="AS62" s="1"/>
      <c r="AT62" s="1"/>
      <c r="AU62" s="1"/>
      <c r="AV62" s="40"/>
      <c r="AW62" s="1"/>
      <c r="AX62" s="506"/>
      <c r="AY62" s="506"/>
      <c r="AZ62" s="506"/>
      <c r="BA62" s="506"/>
      <c r="BB62" s="506"/>
      <c r="BC62" s="506"/>
      <c r="BD62" s="546"/>
      <c r="BE62" s="506"/>
      <c r="BF62" s="506"/>
      <c r="BG62" s="506"/>
      <c r="BH62" s="506"/>
      <c r="BI62" s="506"/>
      <c r="BJ62" s="546"/>
      <c r="BK62" s="506"/>
      <c r="BL62" s="506"/>
      <c r="BM62" s="506"/>
      <c r="BN62" s="506"/>
      <c r="BO62" s="506"/>
      <c r="BP62" s="16"/>
      <c r="BQ62" s="16"/>
      <c r="BR62" s="16"/>
      <c r="BS62" s="16"/>
      <c r="BT62" s="26"/>
      <c r="BU62" s="16"/>
      <c r="BV62" s="16"/>
      <c r="BW62" s="16"/>
    </row>
    <row r="63" spans="1:75" ht="15.75" hidden="1" customHeight="1">
      <c r="A63" s="40"/>
      <c r="B63" s="497">
        <v>99430</v>
      </c>
      <c r="C63" s="497">
        <f t="shared" ref="C63:D63" si="145">B64</f>
        <v>101970</v>
      </c>
      <c r="D63" s="509">
        <f t="shared" si="145"/>
        <v>104510</v>
      </c>
      <c r="E63" s="223">
        <v>104510</v>
      </c>
      <c r="F63" s="40"/>
      <c r="G63" s="1"/>
      <c r="H63" s="1"/>
      <c r="I63" s="40"/>
      <c r="J63" s="1"/>
      <c r="K63" s="635">
        <v>19</v>
      </c>
      <c r="L63" s="40"/>
      <c r="M63" s="1"/>
      <c r="N63" s="1"/>
      <c r="O63" s="1"/>
      <c r="P63" s="1"/>
      <c r="Q63" s="1"/>
      <c r="R63" s="1"/>
      <c r="S63" s="40"/>
      <c r="T63" s="1"/>
      <c r="U63" s="1"/>
      <c r="V63" s="1"/>
      <c r="W63" s="1"/>
      <c r="X63" s="1"/>
      <c r="Y63" s="3"/>
      <c r="Z63" s="40"/>
      <c r="AA63" s="1"/>
      <c r="AB63" s="1"/>
      <c r="AC63" s="1"/>
      <c r="AD63" s="1"/>
      <c r="AE63" s="40"/>
      <c r="AF63" s="1"/>
      <c r="AG63" s="1"/>
      <c r="AH63" s="1"/>
      <c r="AI63" s="40"/>
      <c r="AJ63" s="1"/>
      <c r="AK63" s="4"/>
      <c r="AL63" s="482"/>
      <c r="AM63" s="40"/>
      <c r="AN63" s="1"/>
      <c r="AO63" s="1"/>
      <c r="AP63" s="4"/>
      <c r="AQ63" s="1"/>
      <c r="AR63" s="1"/>
      <c r="AS63" s="1"/>
      <c r="AT63" s="1"/>
      <c r="AU63" s="1"/>
      <c r="AV63" s="40"/>
      <c r="AW63" s="1"/>
      <c r="AX63" s="506"/>
      <c r="AY63" s="506"/>
      <c r="AZ63" s="506"/>
      <c r="BA63" s="506"/>
      <c r="BB63" s="506"/>
      <c r="BC63" s="506"/>
      <c r="BD63" s="546"/>
      <c r="BE63" s="506"/>
      <c r="BF63" s="506"/>
      <c r="BG63" s="506"/>
      <c r="BH63" s="506"/>
      <c r="BI63" s="506"/>
      <c r="BJ63" s="546"/>
      <c r="BK63" s="506"/>
      <c r="BL63" s="506"/>
      <c r="BM63" s="506"/>
      <c r="BN63" s="506"/>
      <c r="BO63" s="506"/>
      <c r="BP63" s="16"/>
      <c r="BQ63" s="16"/>
      <c r="BR63" s="16"/>
      <c r="BS63" s="16"/>
      <c r="BT63" s="26"/>
      <c r="BU63" s="16"/>
      <c r="BV63" s="16"/>
      <c r="BW63" s="16"/>
    </row>
    <row r="64" spans="1:75" ht="15.75" hidden="1" customHeight="1">
      <c r="A64" s="40"/>
      <c r="B64" s="497">
        <v>101970</v>
      </c>
      <c r="C64" s="497">
        <f t="shared" ref="C64:D64" si="146">B65</f>
        <v>104510</v>
      </c>
      <c r="D64" s="509">
        <f t="shared" si="146"/>
        <v>107210</v>
      </c>
      <c r="E64" s="223">
        <v>107210</v>
      </c>
      <c r="F64" s="40"/>
      <c r="G64" s="1"/>
      <c r="H64" s="1"/>
      <c r="I64" s="40"/>
      <c r="J64" s="1"/>
      <c r="K64" s="635">
        <v>20</v>
      </c>
      <c r="L64" s="40"/>
      <c r="M64" s="1"/>
      <c r="N64" s="1"/>
      <c r="O64" s="1"/>
      <c r="P64" s="1"/>
      <c r="Q64" s="1"/>
      <c r="R64" s="1"/>
      <c r="S64" s="40"/>
      <c r="T64" s="1"/>
      <c r="U64" s="1"/>
      <c r="V64" s="1"/>
      <c r="W64" s="1"/>
      <c r="X64" s="1"/>
      <c r="Y64" s="3"/>
      <c r="Z64" s="40"/>
      <c r="AA64" s="1"/>
      <c r="AB64" s="1"/>
      <c r="AC64" s="1"/>
      <c r="AD64" s="1"/>
      <c r="AE64" s="40"/>
      <c r="AF64" s="1"/>
      <c r="AG64" s="1"/>
      <c r="AH64" s="1"/>
      <c r="AI64" s="40"/>
      <c r="AJ64" s="1"/>
      <c r="AK64" s="4"/>
      <c r="AL64" s="482"/>
      <c r="AM64" s="40"/>
      <c r="AN64" s="1"/>
      <c r="AO64" s="1"/>
      <c r="AP64" s="4"/>
      <c r="AQ64" s="1"/>
      <c r="AR64" s="1"/>
      <c r="AS64" s="1"/>
      <c r="AT64" s="1"/>
      <c r="AU64" s="1"/>
      <c r="AV64" s="40"/>
      <c r="AW64" s="1"/>
      <c r="AX64" s="506"/>
      <c r="AY64" s="506"/>
      <c r="AZ64" s="506"/>
      <c r="BA64" s="506"/>
      <c r="BB64" s="506"/>
      <c r="BC64" s="506"/>
      <c r="BD64" s="546"/>
      <c r="BE64" s="506"/>
      <c r="BF64" s="506"/>
      <c r="BG64" s="506"/>
      <c r="BH64" s="506"/>
      <c r="BI64" s="506"/>
      <c r="BJ64" s="546"/>
      <c r="BK64" s="506"/>
      <c r="BL64" s="506"/>
      <c r="BM64" s="506"/>
      <c r="BN64" s="506"/>
      <c r="BO64" s="506"/>
      <c r="BP64" s="16"/>
      <c r="BQ64" s="16"/>
      <c r="BR64" s="16"/>
      <c r="BS64" s="16"/>
      <c r="BT64" s="26"/>
      <c r="BU64" s="16"/>
      <c r="BV64" s="16"/>
      <c r="BW64" s="16"/>
    </row>
    <row r="65" spans="1:75" ht="15.75" hidden="1" customHeight="1">
      <c r="A65" s="40"/>
      <c r="B65" s="497">
        <v>104510</v>
      </c>
      <c r="C65" s="497">
        <f t="shared" ref="C65:D65" si="147">B66</f>
        <v>107210</v>
      </c>
      <c r="D65" s="509">
        <f t="shared" si="147"/>
        <v>109910</v>
      </c>
      <c r="E65" s="223">
        <v>109910</v>
      </c>
      <c r="F65" s="40"/>
      <c r="G65" s="1"/>
      <c r="H65" s="1"/>
      <c r="I65" s="40"/>
      <c r="J65" s="1"/>
      <c r="K65" s="635">
        <v>21</v>
      </c>
      <c r="L65" s="40"/>
      <c r="M65" s="1"/>
      <c r="N65" s="1"/>
      <c r="O65" s="1"/>
      <c r="P65" s="1"/>
      <c r="Q65" s="1"/>
      <c r="R65" s="1"/>
      <c r="S65" s="40"/>
      <c r="T65" s="1"/>
      <c r="U65" s="1"/>
      <c r="V65" s="1"/>
      <c r="W65" s="1"/>
      <c r="X65" s="1"/>
      <c r="Y65" s="3"/>
      <c r="Z65" s="40"/>
      <c r="AA65" s="1"/>
      <c r="AB65" s="1"/>
      <c r="AC65" s="1"/>
      <c r="AD65" s="1"/>
      <c r="AE65" s="40"/>
      <c r="AF65" s="1"/>
      <c r="AG65" s="1"/>
      <c r="AH65" s="1"/>
      <c r="AI65" s="40"/>
      <c r="AJ65" s="1"/>
      <c r="AK65" s="4"/>
      <c r="AL65" s="482"/>
      <c r="AM65" s="40"/>
      <c r="AN65" s="1"/>
      <c r="AO65" s="1"/>
      <c r="AP65" s="4"/>
      <c r="AQ65" s="1"/>
      <c r="AR65" s="1"/>
      <c r="AS65" s="1"/>
      <c r="AT65" s="1"/>
      <c r="AU65" s="1"/>
      <c r="AV65" s="40"/>
      <c r="AW65" s="1"/>
      <c r="AX65" s="506"/>
      <c r="AY65" s="506"/>
      <c r="AZ65" s="506"/>
      <c r="BA65" s="506"/>
      <c r="BB65" s="506"/>
      <c r="BC65" s="506"/>
      <c r="BD65" s="546"/>
      <c r="BE65" s="506"/>
      <c r="BF65" s="506"/>
      <c r="BG65" s="506"/>
      <c r="BH65" s="506"/>
      <c r="BI65" s="506"/>
      <c r="BJ65" s="546"/>
      <c r="BK65" s="506"/>
      <c r="BL65" s="506"/>
      <c r="BM65" s="506"/>
      <c r="BN65" s="506"/>
      <c r="BO65" s="506"/>
      <c r="BP65" s="16"/>
      <c r="BQ65" s="16"/>
      <c r="BR65" s="16"/>
      <c r="BS65" s="16"/>
      <c r="BT65" s="26"/>
      <c r="BU65" s="16"/>
      <c r="BV65" s="16"/>
      <c r="BW65" s="16"/>
    </row>
    <row r="66" spans="1:75" ht="15.75" hidden="1" customHeight="1">
      <c r="A66" s="40"/>
      <c r="B66" s="497">
        <v>107210</v>
      </c>
      <c r="C66" s="497">
        <f t="shared" ref="C66:D66" si="148">B67</f>
        <v>109910</v>
      </c>
      <c r="D66" s="509">
        <f t="shared" si="148"/>
        <v>112610</v>
      </c>
      <c r="E66" s="223">
        <v>112610</v>
      </c>
      <c r="F66" s="40"/>
      <c r="G66" s="1"/>
      <c r="H66" s="1"/>
      <c r="I66" s="40"/>
      <c r="J66" s="1"/>
      <c r="K66" s="635">
        <v>22</v>
      </c>
      <c r="L66" s="40"/>
      <c r="M66" s="1"/>
      <c r="N66" s="1"/>
      <c r="O66" s="1"/>
      <c r="P66" s="1"/>
      <c r="Q66" s="1"/>
      <c r="R66" s="1"/>
      <c r="S66" s="40"/>
      <c r="T66" s="1"/>
      <c r="U66" s="1"/>
      <c r="V66" s="1"/>
      <c r="W66" s="1"/>
      <c r="X66" s="1"/>
      <c r="Y66" s="3"/>
      <c r="Z66" s="40"/>
      <c r="AA66" s="1"/>
      <c r="AB66" s="1"/>
      <c r="AC66" s="1"/>
      <c r="AD66" s="1"/>
      <c r="AE66" s="40"/>
      <c r="AF66" s="1"/>
      <c r="AG66" s="1"/>
      <c r="AH66" s="1"/>
      <c r="AI66" s="40"/>
      <c r="AJ66" s="1"/>
      <c r="AK66" s="4"/>
      <c r="AL66" s="482"/>
      <c r="AM66" s="40"/>
      <c r="AN66" s="1"/>
      <c r="AO66" s="1"/>
      <c r="AP66" s="4"/>
      <c r="AQ66" s="1"/>
      <c r="AR66" s="1"/>
      <c r="AS66" s="1"/>
      <c r="AT66" s="1"/>
      <c r="AU66" s="1"/>
      <c r="AV66" s="40"/>
      <c r="AW66" s="1"/>
      <c r="AX66" s="506"/>
      <c r="AY66" s="506"/>
      <c r="AZ66" s="506"/>
      <c r="BA66" s="506"/>
      <c r="BB66" s="506"/>
      <c r="BC66" s="506"/>
      <c r="BD66" s="546"/>
      <c r="BE66" s="506"/>
      <c r="BF66" s="506"/>
      <c r="BG66" s="506"/>
      <c r="BH66" s="506"/>
      <c r="BI66" s="506"/>
      <c r="BJ66" s="546"/>
      <c r="BK66" s="506"/>
      <c r="BL66" s="506"/>
      <c r="BM66" s="506"/>
      <c r="BN66" s="506"/>
      <c r="BO66" s="506"/>
      <c r="BP66" s="16"/>
      <c r="BQ66" s="16"/>
      <c r="BR66" s="16"/>
      <c r="BS66" s="16"/>
      <c r="BT66" s="26"/>
      <c r="BU66" s="16"/>
      <c r="BV66" s="16"/>
      <c r="BW66" s="16"/>
    </row>
    <row r="67" spans="1:75" ht="15.75" hidden="1" customHeight="1">
      <c r="A67" s="40"/>
      <c r="B67" s="497">
        <v>109910</v>
      </c>
      <c r="C67" s="497">
        <f t="shared" ref="C67:D67" si="149">B68</f>
        <v>112610</v>
      </c>
      <c r="D67" s="509">
        <f t="shared" si="149"/>
        <v>115500</v>
      </c>
      <c r="E67" s="223">
        <v>115500</v>
      </c>
      <c r="F67" s="40"/>
      <c r="G67" s="1"/>
      <c r="H67" s="1"/>
      <c r="I67" s="40"/>
      <c r="J67" s="1"/>
      <c r="K67" s="635">
        <v>23</v>
      </c>
      <c r="L67" s="40"/>
      <c r="M67" s="1"/>
      <c r="N67" s="1"/>
      <c r="O67" s="1"/>
      <c r="P67" s="1"/>
      <c r="Q67" s="1"/>
      <c r="R67" s="1"/>
      <c r="S67" s="40"/>
      <c r="T67" s="1"/>
      <c r="U67" s="1"/>
      <c r="V67" s="1"/>
      <c r="W67" s="1"/>
      <c r="X67" s="1"/>
      <c r="Y67" s="3"/>
      <c r="Z67" s="40"/>
      <c r="AA67" s="1"/>
      <c r="AB67" s="1"/>
      <c r="AC67" s="1"/>
      <c r="AD67" s="1"/>
      <c r="AE67" s="40"/>
      <c r="AF67" s="1"/>
      <c r="AG67" s="1"/>
      <c r="AH67" s="1"/>
      <c r="AI67" s="40"/>
      <c r="AJ67" s="1"/>
      <c r="AK67" s="4"/>
      <c r="AL67" s="482"/>
      <c r="AM67" s="40"/>
      <c r="AN67" s="1"/>
      <c r="AO67" s="1"/>
      <c r="AP67" s="4"/>
      <c r="AQ67" s="1"/>
      <c r="AR67" s="1"/>
      <c r="AS67" s="1"/>
      <c r="AT67" s="1"/>
      <c r="AU67" s="1"/>
      <c r="AV67" s="40"/>
      <c r="AW67" s="1"/>
      <c r="AX67" s="506"/>
      <c r="AY67" s="506"/>
      <c r="AZ67" s="506"/>
      <c r="BA67" s="506"/>
      <c r="BB67" s="506"/>
      <c r="BC67" s="506"/>
      <c r="BD67" s="546"/>
      <c r="BE67" s="506"/>
      <c r="BF67" s="506"/>
      <c r="BG67" s="506"/>
      <c r="BH67" s="506"/>
      <c r="BI67" s="506"/>
      <c r="BJ67" s="546"/>
      <c r="BK67" s="506"/>
      <c r="BL67" s="506"/>
      <c r="BM67" s="506"/>
      <c r="BN67" s="506"/>
      <c r="BO67" s="506"/>
      <c r="BP67" s="16"/>
      <c r="BQ67" s="16"/>
      <c r="BR67" s="16"/>
      <c r="BS67" s="16"/>
      <c r="BT67" s="26"/>
      <c r="BU67" s="16"/>
      <c r="BV67" s="16"/>
      <c r="BW67" s="16"/>
    </row>
    <row r="68" spans="1:75" ht="15.75" hidden="1" customHeight="1">
      <c r="A68" s="40"/>
      <c r="B68" s="497">
        <v>112610</v>
      </c>
      <c r="C68" s="497">
        <f t="shared" ref="C68:D68" si="150">B69</f>
        <v>115500</v>
      </c>
      <c r="D68" s="509">
        <f t="shared" si="150"/>
        <v>118390</v>
      </c>
      <c r="E68" s="223">
        <v>118390</v>
      </c>
      <c r="F68" s="40"/>
      <c r="G68" s="1"/>
      <c r="H68" s="1"/>
      <c r="I68" s="40"/>
      <c r="J68" s="1"/>
      <c r="K68" s="635">
        <v>24</v>
      </c>
      <c r="L68" s="40"/>
      <c r="M68" s="1"/>
      <c r="N68" s="1"/>
      <c r="O68" s="1"/>
      <c r="P68" s="1"/>
      <c r="Q68" s="1"/>
      <c r="R68" s="1"/>
      <c r="S68" s="40"/>
      <c r="T68" s="1"/>
      <c r="U68" s="1"/>
      <c r="V68" s="1"/>
      <c r="W68" s="1"/>
      <c r="X68" s="1"/>
      <c r="Y68" s="3"/>
      <c r="Z68" s="40"/>
      <c r="AA68" s="1"/>
      <c r="AB68" s="1"/>
      <c r="AC68" s="1"/>
      <c r="AD68" s="1"/>
      <c r="AE68" s="40"/>
      <c r="AF68" s="1"/>
      <c r="AG68" s="1"/>
      <c r="AH68" s="1"/>
      <c r="AI68" s="40"/>
      <c r="AJ68" s="1"/>
      <c r="AK68" s="4"/>
      <c r="AL68" s="482"/>
      <c r="AM68" s="40"/>
      <c r="AN68" s="1"/>
      <c r="AO68" s="1"/>
      <c r="AP68" s="4"/>
      <c r="AQ68" s="1"/>
      <c r="AR68" s="1"/>
      <c r="AS68" s="1"/>
      <c r="AT68" s="1"/>
      <c r="AU68" s="1"/>
      <c r="AV68" s="40"/>
      <c r="AW68" s="1"/>
      <c r="AX68" s="506"/>
      <c r="AY68" s="506"/>
      <c r="AZ68" s="506"/>
      <c r="BA68" s="506"/>
      <c r="BB68" s="506"/>
      <c r="BC68" s="506"/>
      <c r="BD68" s="546"/>
      <c r="BE68" s="506"/>
      <c r="BF68" s="506"/>
      <c r="BG68" s="506"/>
      <c r="BH68" s="506"/>
      <c r="BI68" s="506"/>
      <c r="BJ68" s="546"/>
      <c r="BK68" s="506"/>
      <c r="BL68" s="506"/>
      <c r="BM68" s="506"/>
      <c r="BN68" s="506"/>
      <c r="BO68" s="506"/>
      <c r="BP68" s="16"/>
      <c r="BQ68" s="16"/>
      <c r="BR68" s="16"/>
      <c r="BS68" s="16"/>
      <c r="BT68" s="26"/>
      <c r="BU68" s="16"/>
      <c r="BV68" s="16"/>
      <c r="BW68" s="16"/>
    </row>
    <row r="69" spans="1:75" ht="15.75" hidden="1" customHeight="1">
      <c r="A69" s="40"/>
      <c r="B69" s="497">
        <v>115500</v>
      </c>
      <c r="C69" s="497">
        <f t="shared" ref="C69:D69" si="151">B70</f>
        <v>118390</v>
      </c>
      <c r="D69" s="509">
        <f t="shared" si="151"/>
        <v>121280</v>
      </c>
      <c r="E69" s="223">
        <v>121280</v>
      </c>
      <c r="F69" s="40"/>
      <c r="G69" s="1"/>
      <c r="H69" s="1"/>
      <c r="I69" s="40"/>
      <c r="J69" s="1"/>
      <c r="K69" s="635">
        <v>25</v>
      </c>
      <c r="L69" s="40"/>
      <c r="M69" s="1"/>
      <c r="N69" s="1"/>
      <c r="O69" s="1"/>
      <c r="P69" s="1"/>
      <c r="Q69" s="1"/>
      <c r="R69" s="1"/>
      <c r="S69" s="40"/>
      <c r="T69" s="1"/>
      <c r="U69" s="1"/>
      <c r="V69" s="1"/>
      <c r="W69" s="1"/>
      <c r="X69" s="1"/>
      <c r="Y69" s="3"/>
      <c r="Z69" s="40"/>
      <c r="AA69" s="1"/>
      <c r="AB69" s="1"/>
      <c r="AC69" s="1"/>
      <c r="AD69" s="1"/>
      <c r="AE69" s="40"/>
      <c r="AF69" s="1"/>
      <c r="AG69" s="1"/>
      <c r="AH69" s="1"/>
      <c r="AI69" s="40"/>
      <c r="AJ69" s="1"/>
      <c r="AK69" s="4"/>
      <c r="AL69" s="482"/>
      <c r="AM69" s="40"/>
      <c r="AN69" s="1"/>
      <c r="AO69" s="1"/>
      <c r="AP69" s="4"/>
      <c r="AQ69" s="1"/>
      <c r="AR69" s="1"/>
      <c r="AS69" s="1"/>
      <c r="AT69" s="1"/>
      <c r="AU69" s="1"/>
      <c r="AV69" s="40"/>
      <c r="AW69" s="1"/>
      <c r="AX69" s="506"/>
      <c r="AY69" s="506"/>
      <c r="AZ69" s="506"/>
      <c r="BA69" s="506"/>
      <c r="BB69" s="506"/>
      <c r="BC69" s="506"/>
      <c r="BD69" s="546"/>
      <c r="BE69" s="506"/>
      <c r="BF69" s="506"/>
      <c r="BG69" s="506"/>
      <c r="BH69" s="506"/>
      <c r="BI69" s="506"/>
      <c r="BJ69" s="546"/>
      <c r="BK69" s="506"/>
      <c r="BL69" s="506"/>
      <c r="BM69" s="506"/>
      <c r="BN69" s="506"/>
      <c r="BO69" s="506"/>
      <c r="BP69" s="16"/>
      <c r="BQ69" s="16"/>
      <c r="BR69" s="16"/>
      <c r="BS69" s="16"/>
      <c r="BT69" s="26"/>
      <c r="BU69" s="16"/>
      <c r="BV69" s="16"/>
      <c r="BW69" s="16"/>
    </row>
    <row r="70" spans="1:75" ht="15.75" hidden="1" customHeight="1">
      <c r="A70" s="40"/>
      <c r="B70" s="497">
        <v>118390</v>
      </c>
      <c r="C70" s="497">
        <f t="shared" ref="C70:D70" si="152">B71</f>
        <v>121280</v>
      </c>
      <c r="D70" s="509">
        <f t="shared" si="152"/>
        <v>124380</v>
      </c>
      <c r="E70" s="223">
        <v>124380</v>
      </c>
      <c r="F70" s="40"/>
      <c r="G70" s="1"/>
      <c r="H70" s="1"/>
      <c r="I70" s="40"/>
      <c r="J70" s="1"/>
      <c r="K70" s="635">
        <v>26</v>
      </c>
      <c r="L70" s="40"/>
      <c r="M70" s="1"/>
      <c r="N70" s="1"/>
      <c r="O70" s="1"/>
      <c r="P70" s="1"/>
      <c r="Q70" s="1"/>
      <c r="R70" s="1"/>
      <c r="S70" s="40"/>
      <c r="T70" s="1"/>
      <c r="U70" s="1"/>
      <c r="V70" s="1"/>
      <c r="W70" s="1"/>
      <c r="X70" s="1"/>
      <c r="Y70" s="3"/>
      <c r="Z70" s="40"/>
      <c r="AA70" s="1"/>
      <c r="AB70" s="1"/>
      <c r="AC70" s="1"/>
      <c r="AD70" s="1"/>
      <c r="AE70" s="40"/>
      <c r="AF70" s="1"/>
      <c r="AG70" s="1"/>
      <c r="AH70" s="1"/>
      <c r="AI70" s="40"/>
      <c r="AJ70" s="1"/>
      <c r="AK70" s="4"/>
      <c r="AL70" s="482"/>
      <c r="AM70" s="40"/>
      <c r="AN70" s="1"/>
      <c r="AO70" s="1"/>
      <c r="AP70" s="4"/>
      <c r="AQ70" s="1"/>
      <c r="AR70" s="1"/>
      <c r="AS70" s="1"/>
      <c r="AT70" s="1"/>
      <c r="AU70" s="1"/>
      <c r="AV70" s="40"/>
      <c r="AW70" s="1"/>
      <c r="AX70" s="506"/>
      <c r="AY70" s="506"/>
      <c r="AZ70" s="506"/>
      <c r="BA70" s="506"/>
      <c r="BB70" s="506"/>
      <c r="BC70" s="506"/>
      <c r="BD70" s="546"/>
      <c r="BE70" s="506"/>
      <c r="BF70" s="506"/>
      <c r="BG70" s="506"/>
      <c r="BH70" s="506"/>
      <c r="BI70" s="506"/>
      <c r="BJ70" s="546"/>
      <c r="BK70" s="506"/>
      <c r="BL70" s="506"/>
      <c r="BM70" s="506"/>
      <c r="BN70" s="506"/>
      <c r="BO70" s="506"/>
      <c r="BP70" s="16"/>
      <c r="BQ70" s="16"/>
      <c r="BR70" s="16"/>
      <c r="BS70" s="16"/>
      <c r="BT70" s="26"/>
      <c r="BU70" s="16"/>
      <c r="BV70" s="16"/>
      <c r="BW70" s="16"/>
    </row>
    <row r="71" spans="1:75" ht="15.75" hidden="1" customHeight="1">
      <c r="A71" s="40"/>
      <c r="B71" s="497">
        <v>121280</v>
      </c>
      <c r="C71" s="497">
        <f t="shared" ref="C71:D71" si="153">B72</f>
        <v>124380</v>
      </c>
      <c r="D71" s="509">
        <f t="shared" si="153"/>
        <v>127480</v>
      </c>
      <c r="E71" s="223">
        <v>127480</v>
      </c>
      <c r="F71" s="40"/>
      <c r="G71" s="1"/>
      <c r="H71" s="1"/>
      <c r="I71" s="40"/>
      <c r="J71" s="1"/>
      <c r="K71" s="635">
        <v>27</v>
      </c>
      <c r="L71" s="40"/>
      <c r="M71" s="1"/>
      <c r="N71" s="1"/>
      <c r="O71" s="1"/>
      <c r="P71" s="1"/>
      <c r="Q71" s="1"/>
      <c r="R71" s="1"/>
      <c r="S71" s="40"/>
      <c r="T71" s="1"/>
      <c r="U71" s="1"/>
      <c r="V71" s="1"/>
      <c r="W71" s="1"/>
      <c r="X71" s="1"/>
      <c r="Y71" s="3"/>
      <c r="Z71" s="40"/>
      <c r="AA71" s="1"/>
      <c r="AB71" s="1"/>
      <c r="AC71" s="1"/>
      <c r="AD71" s="1"/>
      <c r="AE71" s="40"/>
      <c r="AF71" s="1"/>
      <c r="AG71" s="1"/>
      <c r="AH71" s="1"/>
      <c r="AI71" s="40"/>
      <c r="AJ71" s="1"/>
      <c r="AK71" s="4"/>
      <c r="AL71" s="482"/>
      <c r="AM71" s="40"/>
      <c r="AN71" s="1"/>
      <c r="AO71" s="1"/>
      <c r="AP71" s="4"/>
      <c r="AQ71" s="1"/>
      <c r="AR71" s="1"/>
      <c r="AS71" s="1"/>
      <c r="AT71" s="1"/>
      <c r="AU71" s="1"/>
      <c r="AV71" s="40"/>
      <c r="AW71" s="1"/>
      <c r="AX71" s="506"/>
      <c r="AY71" s="506"/>
      <c r="AZ71" s="506"/>
      <c r="BA71" s="506"/>
      <c r="BB71" s="506"/>
      <c r="BC71" s="506"/>
      <c r="BD71" s="546"/>
      <c r="BE71" s="506"/>
      <c r="BF71" s="506"/>
      <c r="BG71" s="506"/>
      <c r="BH71" s="506"/>
      <c r="BI71" s="506"/>
      <c r="BJ71" s="546"/>
      <c r="BK71" s="506"/>
      <c r="BL71" s="506"/>
      <c r="BM71" s="506"/>
      <c r="BN71" s="506"/>
      <c r="BO71" s="506"/>
      <c r="BP71" s="16"/>
      <c r="BQ71" s="16"/>
      <c r="BR71" s="16"/>
      <c r="BS71" s="16"/>
      <c r="BT71" s="26"/>
      <c r="BU71" s="16"/>
      <c r="BV71" s="16"/>
      <c r="BW71" s="16"/>
    </row>
    <row r="72" spans="1:75" ht="15.75" hidden="1" customHeight="1">
      <c r="A72" s="40"/>
      <c r="B72" s="497">
        <v>124380</v>
      </c>
      <c r="C72" s="497">
        <f t="shared" ref="C72:D72" si="154">B73</f>
        <v>127480</v>
      </c>
      <c r="D72" s="509">
        <f t="shared" si="154"/>
        <v>130580</v>
      </c>
      <c r="E72" s="223">
        <v>130580</v>
      </c>
      <c r="F72" s="40"/>
      <c r="G72" s="1"/>
      <c r="H72" s="1"/>
      <c r="I72" s="40"/>
      <c r="J72" s="1"/>
      <c r="K72" s="635">
        <v>28</v>
      </c>
      <c r="L72" s="40"/>
      <c r="M72" s="1"/>
      <c r="N72" s="1"/>
      <c r="O72" s="1"/>
      <c r="P72" s="1"/>
      <c r="Q72" s="1"/>
      <c r="R72" s="1"/>
      <c r="S72" s="40"/>
      <c r="T72" s="1"/>
      <c r="U72" s="1"/>
      <c r="V72" s="1"/>
      <c r="W72" s="1"/>
      <c r="X72" s="1"/>
      <c r="Y72" s="3"/>
      <c r="Z72" s="40"/>
      <c r="AA72" s="1"/>
      <c r="AB72" s="1"/>
      <c r="AC72" s="1"/>
      <c r="AD72" s="1"/>
      <c r="AE72" s="40"/>
      <c r="AF72" s="1"/>
      <c r="AG72" s="1"/>
      <c r="AH72" s="1"/>
      <c r="AI72" s="40"/>
      <c r="AJ72" s="1"/>
      <c r="AK72" s="4"/>
      <c r="AL72" s="482"/>
      <c r="AM72" s="40"/>
      <c r="AN72" s="1"/>
      <c r="AO72" s="1"/>
      <c r="AP72" s="4"/>
      <c r="AQ72" s="1"/>
      <c r="AR72" s="1"/>
      <c r="AS72" s="1"/>
      <c r="AT72" s="1"/>
      <c r="AU72" s="1"/>
      <c r="AV72" s="40"/>
      <c r="AW72" s="1"/>
      <c r="AX72" s="506"/>
      <c r="AY72" s="506"/>
      <c r="AZ72" s="506"/>
      <c r="BA72" s="506"/>
      <c r="BB72" s="506"/>
      <c r="BC72" s="506"/>
      <c r="BD72" s="546"/>
      <c r="BE72" s="506"/>
      <c r="BF72" s="506"/>
      <c r="BG72" s="506"/>
      <c r="BH72" s="506"/>
      <c r="BI72" s="506"/>
      <c r="BJ72" s="546"/>
      <c r="BK72" s="506"/>
      <c r="BL72" s="506"/>
      <c r="BM72" s="506"/>
      <c r="BN72" s="506"/>
      <c r="BO72" s="506"/>
      <c r="BP72" s="16"/>
      <c r="BQ72" s="16"/>
      <c r="BR72" s="16"/>
      <c r="BS72" s="16"/>
      <c r="BT72" s="26"/>
      <c r="BU72" s="16"/>
      <c r="BV72" s="16"/>
      <c r="BW72" s="16"/>
    </row>
    <row r="73" spans="1:75" ht="15.75" hidden="1" customHeight="1">
      <c r="A73" s="40"/>
      <c r="B73" s="497">
        <v>127480</v>
      </c>
      <c r="C73" s="497">
        <f t="shared" ref="C73:D73" si="155">B74</f>
        <v>130580</v>
      </c>
      <c r="D73" s="509">
        <f t="shared" si="155"/>
        <v>133900</v>
      </c>
      <c r="E73" s="223">
        <v>133900</v>
      </c>
      <c r="F73" s="40"/>
      <c r="G73" s="1"/>
      <c r="H73" s="1"/>
      <c r="I73" s="40"/>
      <c r="J73" s="1"/>
      <c r="K73" s="635">
        <v>29</v>
      </c>
      <c r="L73" s="40"/>
      <c r="M73" s="1"/>
      <c r="N73" s="1"/>
      <c r="O73" s="1"/>
      <c r="P73" s="1"/>
      <c r="Q73" s="1"/>
      <c r="R73" s="1"/>
      <c r="S73" s="40"/>
      <c r="T73" s="1"/>
      <c r="U73" s="1"/>
      <c r="V73" s="1"/>
      <c r="W73" s="1"/>
      <c r="X73" s="1"/>
      <c r="Y73" s="3"/>
      <c r="Z73" s="40"/>
      <c r="AA73" s="1"/>
      <c r="AB73" s="1"/>
      <c r="AC73" s="1"/>
      <c r="AD73" s="1"/>
      <c r="AE73" s="40"/>
      <c r="AF73" s="1"/>
      <c r="AG73" s="1"/>
      <c r="AH73" s="1"/>
      <c r="AI73" s="40"/>
      <c r="AJ73" s="1"/>
      <c r="AK73" s="4"/>
      <c r="AL73" s="482"/>
      <c r="AM73" s="40"/>
      <c r="AN73" s="1"/>
      <c r="AO73" s="1"/>
      <c r="AP73" s="4"/>
      <c r="AQ73" s="1"/>
      <c r="AR73" s="1"/>
      <c r="AS73" s="1"/>
      <c r="AT73" s="1"/>
      <c r="AU73" s="1"/>
      <c r="AV73" s="40"/>
      <c r="AW73" s="1"/>
      <c r="AX73" s="506"/>
      <c r="AY73" s="506"/>
      <c r="AZ73" s="506"/>
      <c r="BA73" s="506"/>
      <c r="BB73" s="506"/>
      <c r="BC73" s="506"/>
      <c r="BD73" s="546"/>
      <c r="BE73" s="506"/>
      <c r="BF73" s="506"/>
      <c r="BG73" s="506"/>
      <c r="BH73" s="506"/>
      <c r="BI73" s="506"/>
      <c r="BJ73" s="546"/>
      <c r="BK73" s="506"/>
      <c r="BL73" s="506"/>
      <c r="BM73" s="506"/>
      <c r="BN73" s="506"/>
      <c r="BO73" s="506"/>
      <c r="BP73" s="16"/>
      <c r="BQ73" s="16"/>
      <c r="BR73" s="16"/>
      <c r="BS73" s="16"/>
      <c r="BT73" s="26"/>
      <c r="BU73" s="16"/>
      <c r="BV73" s="16"/>
      <c r="BW73" s="16"/>
    </row>
    <row r="74" spans="1:75" ht="15.75" hidden="1" customHeight="1">
      <c r="A74" s="40"/>
      <c r="B74" s="497">
        <v>130580</v>
      </c>
      <c r="C74" s="497">
        <f t="shared" ref="C74:D74" si="156">B75</f>
        <v>133900</v>
      </c>
      <c r="D74" s="509">
        <f t="shared" si="156"/>
        <v>137220</v>
      </c>
      <c r="E74" s="223">
        <v>137220</v>
      </c>
      <c r="F74" s="40"/>
      <c r="G74" s="1"/>
      <c r="H74" s="1"/>
      <c r="I74" s="40"/>
      <c r="J74" s="1"/>
      <c r="K74" s="635">
        <v>30</v>
      </c>
      <c r="L74" s="40"/>
      <c r="M74" s="1"/>
      <c r="N74" s="1"/>
      <c r="O74" s="1"/>
      <c r="P74" s="1"/>
      <c r="Q74" s="1"/>
      <c r="R74" s="1"/>
      <c r="S74" s="40"/>
      <c r="T74" s="1"/>
      <c r="U74" s="1"/>
      <c r="V74" s="1"/>
      <c r="W74" s="1"/>
      <c r="X74" s="1"/>
      <c r="Y74" s="3"/>
      <c r="Z74" s="40"/>
      <c r="AA74" s="1"/>
      <c r="AB74" s="1"/>
      <c r="AC74" s="1"/>
      <c r="AD74" s="1"/>
      <c r="AE74" s="40"/>
      <c r="AF74" s="1"/>
      <c r="AG74" s="1"/>
      <c r="AH74" s="1"/>
      <c r="AI74" s="40"/>
      <c r="AJ74" s="1"/>
      <c r="AK74" s="4"/>
      <c r="AL74" s="482"/>
      <c r="AM74" s="40"/>
      <c r="AN74" s="1"/>
      <c r="AO74" s="1"/>
      <c r="AP74" s="4"/>
      <c r="AQ74" s="1"/>
      <c r="AR74" s="1"/>
      <c r="AS74" s="1"/>
      <c r="AT74" s="1"/>
      <c r="AU74" s="1"/>
      <c r="AV74" s="40"/>
      <c r="AW74" s="1"/>
      <c r="AX74" s="506"/>
      <c r="AY74" s="506"/>
      <c r="AZ74" s="506"/>
      <c r="BA74" s="506"/>
      <c r="BB74" s="506"/>
      <c r="BC74" s="506"/>
      <c r="BD74" s="546"/>
      <c r="BE74" s="506"/>
      <c r="BF74" s="506"/>
      <c r="BG74" s="506"/>
      <c r="BH74" s="506"/>
      <c r="BI74" s="506"/>
      <c r="BJ74" s="546"/>
      <c r="BK74" s="506"/>
      <c r="BL74" s="506"/>
      <c r="BM74" s="506"/>
      <c r="BN74" s="506"/>
      <c r="BO74" s="506"/>
      <c r="BP74" s="16"/>
      <c r="BQ74" s="16"/>
      <c r="BR74" s="16"/>
      <c r="BS74" s="16"/>
      <c r="BT74" s="26"/>
      <c r="BU74" s="16"/>
      <c r="BV74" s="16"/>
      <c r="BW74" s="16"/>
    </row>
    <row r="75" spans="1:75" ht="15.75" hidden="1" customHeight="1">
      <c r="A75" s="40"/>
      <c r="B75" s="500">
        <v>133900</v>
      </c>
      <c r="C75" s="497">
        <f t="shared" ref="C75:D75" si="157">B76</f>
        <v>137220</v>
      </c>
      <c r="D75" s="509">
        <f t="shared" si="157"/>
        <v>140540</v>
      </c>
      <c r="E75" s="223">
        <v>140540</v>
      </c>
      <c r="F75" s="40"/>
      <c r="G75" s="1"/>
      <c r="H75" s="1"/>
      <c r="I75" s="40"/>
      <c r="J75" s="1"/>
      <c r="K75" s="635">
        <v>31</v>
      </c>
      <c r="L75" s="40"/>
      <c r="M75" s="1"/>
      <c r="N75" s="1"/>
      <c r="O75" s="1"/>
      <c r="P75" s="1"/>
      <c r="Q75" s="1"/>
      <c r="R75" s="1"/>
      <c r="S75" s="40"/>
      <c r="T75" s="1"/>
      <c r="U75" s="1"/>
      <c r="V75" s="1"/>
      <c r="W75" s="1"/>
      <c r="X75" s="1"/>
      <c r="Y75" s="3"/>
      <c r="Z75" s="40"/>
      <c r="AA75" s="1"/>
      <c r="AB75" s="1"/>
      <c r="AC75" s="1"/>
      <c r="AD75" s="1"/>
      <c r="AE75" s="40"/>
      <c r="AF75" s="1"/>
      <c r="AG75" s="1"/>
      <c r="AH75" s="1"/>
      <c r="AI75" s="40"/>
      <c r="AJ75" s="1"/>
      <c r="AK75" s="4"/>
      <c r="AL75" s="482"/>
      <c r="AM75" s="40"/>
      <c r="AN75" s="1"/>
      <c r="AO75" s="1"/>
      <c r="AP75" s="4"/>
      <c r="AQ75" s="1"/>
      <c r="AR75" s="1"/>
      <c r="AS75" s="1"/>
      <c r="AT75" s="1"/>
      <c r="AU75" s="1"/>
      <c r="AV75" s="40"/>
      <c r="AW75" s="1"/>
      <c r="AX75" s="506"/>
      <c r="AY75" s="506"/>
      <c r="AZ75" s="506"/>
      <c r="BA75" s="506"/>
      <c r="BB75" s="506"/>
      <c r="BC75" s="506"/>
      <c r="BD75" s="546"/>
      <c r="BE75" s="506"/>
      <c r="BF75" s="506"/>
      <c r="BG75" s="506"/>
      <c r="BH75" s="506"/>
      <c r="BI75" s="506"/>
      <c r="BJ75" s="546"/>
      <c r="BK75" s="506"/>
      <c r="BL75" s="506"/>
      <c r="BM75" s="506"/>
      <c r="BN75" s="506"/>
      <c r="BO75" s="506"/>
      <c r="BP75" s="16"/>
      <c r="BQ75" s="16"/>
      <c r="BR75" s="16"/>
      <c r="BS75" s="16"/>
      <c r="BT75" s="26"/>
      <c r="BU75" s="16"/>
      <c r="BV75" s="16"/>
      <c r="BW75" s="16"/>
    </row>
    <row r="76" spans="1:75" ht="15.75" hidden="1" customHeight="1">
      <c r="A76" s="40"/>
      <c r="B76" s="500">
        <v>137220</v>
      </c>
      <c r="C76" s="497">
        <f t="shared" ref="C76:D76" si="158">B77</f>
        <v>140540</v>
      </c>
      <c r="D76" s="509">
        <f t="shared" si="158"/>
        <v>144150</v>
      </c>
      <c r="E76" s="223">
        <v>144150</v>
      </c>
      <c r="F76" s="40"/>
      <c r="G76" s="1"/>
      <c r="H76" s="1"/>
      <c r="I76" s="40"/>
      <c r="J76" s="1"/>
      <c r="K76" s="130" t="s">
        <v>33</v>
      </c>
      <c r="L76" s="40"/>
      <c r="M76" s="1"/>
      <c r="N76" s="1"/>
      <c r="O76" s="1"/>
      <c r="P76" s="1"/>
      <c r="Q76" s="1"/>
      <c r="R76" s="1"/>
      <c r="S76" s="40"/>
      <c r="T76" s="1"/>
      <c r="U76" s="1"/>
      <c r="V76" s="1"/>
      <c r="W76" s="1"/>
      <c r="X76" s="1"/>
      <c r="Y76" s="3"/>
      <c r="Z76" s="40"/>
      <c r="AA76" s="1"/>
      <c r="AB76" s="1"/>
      <c r="AC76" s="1"/>
      <c r="AD76" s="1"/>
      <c r="AE76" s="40"/>
      <c r="AF76" s="1"/>
      <c r="AG76" s="1"/>
      <c r="AH76" s="1"/>
      <c r="AI76" s="40"/>
      <c r="AJ76" s="1"/>
      <c r="AK76" s="4"/>
      <c r="AL76" s="482"/>
      <c r="AM76" s="40"/>
      <c r="AN76" s="1"/>
      <c r="AO76" s="1"/>
      <c r="AP76" s="4"/>
      <c r="AQ76" s="1"/>
      <c r="AR76" s="1"/>
      <c r="AS76" s="1"/>
      <c r="AT76" s="1"/>
      <c r="AU76" s="1"/>
      <c r="AV76" s="40"/>
      <c r="AW76" s="1"/>
      <c r="AX76" s="506"/>
      <c r="AY76" s="506"/>
      <c r="AZ76" s="506"/>
      <c r="BA76" s="506"/>
      <c r="BB76" s="506"/>
      <c r="BC76" s="506"/>
      <c r="BD76" s="546"/>
      <c r="BE76" s="506"/>
      <c r="BF76" s="506"/>
      <c r="BG76" s="506"/>
      <c r="BH76" s="506"/>
      <c r="BI76" s="506"/>
      <c r="BJ76" s="546"/>
      <c r="BK76" s="506"/>
      <c r="BL76" s="506"/>
      <c r="BM76" s="506"/>
      <c r="BN76" s="506"/>
      <c r="BO76" s="506"/>
      <c r="BP76" s="16"/>
      <c r="BQ76" s="16"/>
      <c r="BR76" s="16"/>
      <c r="BS76" s="16"/>
      <c r="BT76" s="26"/>
      <c r="BU76" s="16"/>
      <c r="BV76" s="16"/>
      <c r="BW76" s="16"/>
    </row>
    <row r="77" spans="1:75" ht="15.75" hidden="1" customHeight="1">
      <c r="A77" s="40"/>
      <c r="B77" s="500">
        <v>140540</v>
      </c>
      <c r="C77" s="497">
        <f t="shared" ref="C77:D77" si="159">B78</f>
        <v>144150</v>
      </c>
      <c r="D77" s="509">
        <f t="shared" si="159"/>
        <v>147760</v>
      </c>
      <c r="E77" s="223">
        <v>147760</v>
      </c>
      <c r="F77" s="40"/>
      <c r="G77" s="1"/>
      <c r="H77" s="1"/>
      <c r="I77" s="40"/>
      <c r="J77" s="1"/>
      <c r="K77" s="1"/>
      <c r="L77" s="40"/>
      <c r="M77" s="1"/>
      <c r="N77" s="1"/>
      <c r="O77" s="1"/>
      <c r="P77" s="1"/>
      <c r="Q77" s="1"/>
      <c r="R77" s="1"/>
      <c r="S77" s="40"/>
      <c r="T77" s="1"/>
      <c r="U77" s="1"/>
      <c r="V77" s="1"/>
      <c r="W77" s="1"/>
      <c r="X77" s="1"/>
      <c r="Y77" s="3"/>
      <c r="Z77" s="40"/>
      <c r="AA77" s="1"/>
      <c r="AB77" s="1"/>
      <c r="AC77" s="1"/>
      <c r="AD77" s="1"/>
      <c r="AE77" s="40"/>
      <c r="AF77" s="1"/>
      <c r="AG77" s="1"/>
      <c r="AH77" s="1"/>
      <c r="AI77" s="40"/>
      <c r="AJ77" s="1"/>
      <c r="AK77" s="4"/>
      <c r="AL77" s="482"/>
      <c r="AM77" s="40"/>
      <c r="AN77" s="1"/>
      <c r="AO77" s="1"/>
      <c r="AP77" s="4"/>
      <c r="AQ77" s="1"/>
      <c r="AR77" s="1"/>
      <c r="AS77" s="1"/>
      <c r="AT77" s="1"/>
      <c r="AU77" s="1"/>
      <c r="AV77" s="40"/>
      <c r="AW77" s="1"/>
      <c r="AX77" s="506"/>
      <c r="AY77" s="506"/>
      <c r="AZ77" s="506"/>
      <c r="BA77" s="506"/>
      <c r="BB77" s="506"/>
      <c r="BC77" s="506"/>
      <c r="BD77" s="546"/>
      <c r="BE77" s="506"/>
      <c r="BF77" s="506"/>
      <c r="BG77" s="506"/>
      <c r="BH77" s="506"/>
      <c r="BI77" s="506"/>
      <c r="BJ77" s="546"/>
      <c r="BK77" s="506"/>
      <c r="BL77" s="506"/>
      <c r="BM77" s="506"/>
      <c r="BN77" s="506"/>
      <c r="BO77" s="506"/>
      <c r="BP77" s="16"/>
      <c r="BQ77" s="16"/>
      <c r="BR77" s="16"/>
      <c r="BS77" s="16"/>
      <c r="BT77" s="26"/>
      <c r="BU77" s="16"/>
      <c r="BV77" s="16"/>
      <c r="BW77" s="16"/>
    </row>
    <row r="78" spans="1:75" ht="15.75" hidden="1" customHeight="1">
      <c r="A78" s="40"/>
      <c r="B78" s="500">
        <v>144150</v>
      </c>
      <c r="C78" s="497">
        <f t="shared" ref="C78:D78" si="160">B79</f>
        <v>147760</v>
      </c>
      <c r="D78" s="509">
        <f t="shared" si="160"/>
        <v>151370</v>
      </c>
      <c r="E78" s="223">
        <v>151370</v>
      </c>
      <c r="F78" s="40"/>
      <c r="G78" s="1"/>
      <c r="H78" s="1"/>
      <c r="I78" s="40"/>
      <c r="J78" s="1"/>
      <c r="K78" s="1"/>
      <c r="L78" s="40"/>
      <c r="M78" s="1"/>
      <c r="N78" s="1"/>
      <c r="O78" s="1"/>
      <c r="P78" s="1"/>
      <c r="Q78" s="1"/>
      <c r="R78" s="1"/>
      <c r="S78" s="40"/>
      <c r="T78" s="1"/>
      <c r="U78" s="1"/>
      <c r="V78" s="1"/>
      <c r="W78" s="1"/>
      <c r="X78" s="1"/>
      <c r="Y78" s="3"/>
      <c r="Z78" s="40"/>
      <c r="AA78" s="1"/>
      <c r="AB78" s="1"/>
      <c r="AC78" s="1"/>
      <c r="AD78" s="1"/>
      <c r="AE78" s="40"/>
      <c r="AF78" s="1"/>
      <c r="AG78" s="1"/>
      <c r="AH78" s="1"/>
      <c r="AI78" s="40"/>
      <c r="AJ78" s="1"/>
      <c r="AK78" s="4"/>
      <c r="AL78" s="482"/>
      <c r="AM78" s="40"/>
      <c r="AN78" s="1"/>
      <c r="AO78" s="1"/>
      <c r="AP78" s="4"/>
      <c r="AQ78" s="1"/>
      <c r="AR78" s="1"/>
      <c r="AS78" s="1"/>
      <c r="AT78" s="1"/>
      <c r="AU78" s="1"/>
      <c r="AV78" s="40"/>
      <c r="AW78" s="1"/>
      <c r="AX78" s="506"/>
      <c r="AY78" s="506"/>
      <c r="AZ78" s="506"/>
      <c r="BA78" s="506"/>
      <c r="BB78" s="506"/>
      <c r="BC78" s="506"/>
      <c r="BD78" s="546"/>
      <c r="BE78" s="506"/>
      <c r="BF78" s="506"/>
      <c r="BG78" s="506"/>
      <c r="BH78" s="506"/>
      <c r="BI78" s="506"/>
      <c r="BJ78" s="546"/>
      <c r="BK78" s="506"/>
      <c r="BL78" s="506"/>
      <c r="BM78" s="506"/>
      <c r="BN78" s="506"/>
      <c r="BO78" s="506"/>
      <c r="BP78" s="16"/>
      <c r="BQ78" s="16"/>
      <c r="BR78" s="16"/>
      <c r="BS78" s="16"/>
      <c r="BT78" s="26"/>
      <c r="BU78" s="16"/>
      <c r="BV78" s="16"/>
      <c r="BW78" s="16"/>
    </row>
    <row r="79" spans="1:75" ht="15.75" hidden="1" customHeight="1">
      <c r="A79" s="40"/>
      <c r="B79" s="500">
        <v>147760</v>
      </c>
      <c r="C79" s="497">
        <f t="shared" ref="C79:D79" si="161">B80</f>
        <v>151370</v>
      </c>
      <c r="D79" s="509">
        <f t="shared" si="161"/>
        <v>154980</v>
      </c>
      <c r="E79" s="223">
        <v>154980</v>
      </c>
      <c r="F79" s="40"/>
      <c r="G79" s="1"/>
      <c r="H79" s="1"/>
      <c r="I79" s="40"/>
      <c r="J79" s="1"/>
      <c r="K79" s="1"/>
      <c r="L79" s="40"/>
      <c r="M79" s="1"/>
      <c r="N79" s="1"/>
      <c r="O79" s="1"/>
      <c r="P79" s="1"/>
      <c r="Q79" s="1"/>
      <c r="R79" s="1"/>
      <c r="S79" s="40"/>
      <c r="T79" s="1"/>
      <c r="U79" s="1"/>
      <c r="V79" s="1"/>
      <c r="W79" s="1"/>
      <c r="X79" s="1"/>
      <c r="Y79" s="3"/>
      <c r="Z79" s="40"/>
      <c r="AA79" s="1"/>
      <c r="AB79" s="1"/>
      <c r="AC79" s="1"/>
      <c r="AD79" s="1"/>
      <c r="AE79" s="40"/>
      <c r="AF79" s="1"/>
      <c r="AG79" s="1"/>
      <c r="AH79" s="1"/>
      <c r="AI79" s="40"/>
      <c r="AJ79" s="1"/>
      <c r="AK79" s="4"/>
      <c r="AL79" s="482"/>
      <c r="AM79" s="40"/>
      <c r="AN79" s="1"/>
      <c r="AO79" s="1"/>
      <c r="AP79" s="4"/>
      <c r="AQ79" s="1"/>
      <c r="AR79" s="1"/>
      <c r="AS79" s="1"/>
      <c r="AT79" s="1"/>
      <c r="AU79" s="1"/>
      <c r="AV79" s="40"/>
      <c r="AW79" s="1"/>
      <c r="AX79" s="506"/>
      <c r="AY79" s="506"/>
      <c r="AZ79" s="506"/>
      <c r="BA79" s="506"/>
      <c r="BB79" s="506"/>
      <c r="BC79" s="506"/>
      <c r="BD79" s="546"/>
      <c r="BE79" s="506"/>
      <c r="BF79" s="506"/>
      <c r="BG79" s="506"/>
      <c r="BH79" s="506"/>
      <c r="BI79" s="506"/>
      <c r="BJ79" s="546"/>
      <c r="BK79" s="506"/>
      <c r="BL79" s="506"/>
      <c r="BM79" s="506"/>
      <c r="BN79" s="506"/>
      <c r="BO79" s="506"/>
      <c r="BP79" s="16"/>
      <c r="BQ79" s="16"/>
      <c r="BR79" s="16"/>
      <c r="BS79" s="16"/>
      <c r="BT79" s="26"/>
      <c r="BU79" s="16"/>
      <c r="BV79" s="16"/>
      <c r="BW79" s="16"/>
    </row>
    <row r="80" spans="1:75" ht="15.75" hidden="1" customHeight="1">
      <c r="A80" s="40"/>
      <c r="B80" s="500">
        <v>151370</v>
      </c>
      <c r="C80" s="497">
        <f t="shared" ref="C80:D80" si="162">B81</f>
        <v>154980</v>
      </c>
      <c r="D80" s="509">
        <f t="shared" si="162"/>
        <v>158880</v>
      </c>
      <c r="E80" s="223">
        <v>158880</v>
      </c>
      <c r="F80" s="40"/>
      <c r="G80" s="1"/>
      <c r="H80" s="1"/>
      <c r="I80" s="40"/>
      <c r="J80" s="1"/>
      <c r="K80" s="1"/>
      <c r="L80" s="40"/>
      <c r="M80" s="1"/>
      <c r="N80" s="1"/>
      <c r="O80" s="1"/>
      <c r="P80" s="1"/>
      <c r="Q80" s="1"/>
      <c r="R80" s="1"/>
      <c r="S80" s="40"/>
      <c r="T80" s="1"/>
      <c r="U80" s="1"/>
      <c r="V80" s="1"/>
      <c r="W80" s="1"/>
      <c r="X80" s="1"/>
      <c r="Y80" s="3"/>
      <c r="Z80" s="40"/>
      <c r="AA80" s="1"/>
      <c r="AB80" s="1"/>
      <c r="AC80" s="1"/>
      <c r="AD80" s="1"/>
      <c r="AE80" s="40"/>
      <c r="AF80" s="1"/>
      <c r="AG80" s="1"/>
      <c r="AH80" s="1"/>
      <c r="AI80" s="40"/>
      <c r="AJ80" s="1"/>
      <c r="AK80" s="4"/>
      <c r="AL80" s="482"/>
      <c r="AM80" s="40"/>
      <c r="AN80" s="1"/>
      <c r="AO80" s="1"/>
      <c r="AP80" s="4"/>
      <c r="AQ80" s="1"/>
      <c r="AR80" s="1"/>
      <c r="AS80" s="1"/>
      <c r="AT80" s="1"/>
      <c r="AU80" s="1"/>
      <c r="AV80" s="40"/>
      <c r="AW80" s="1"/>
      <c r="AX80" s="506"/>
      <c r="AY80" s="506"/>
      <c r="AZ80" s="506"/>
      <c r="BA80" s="506"/>
      <c r="BB80" s="506"/>
      <c r="BC80" s="506"/>
      <c r="BD80" s="546"/>
      <c r="BE80" s="506"/>
      <c r="BF80" s="506"/>
      <c r="BG80" s="506"/>
      <c r="BH80" s="506"/>
      <c r="BI80" s="506"/>
      <c r="BJ80" s="546"/>
      <c r="BK80" s="506"/>
      <c r="BL80" s="506"/>
      <c r="BM80" s="506"/>
      <c r="BN80" s="506"/>
      <c r="BO80" s="506"/>
      <c r="BP80" s="16"/>
      <c r="BQ80" s="16"/>
      <c r="BR80" s="16"/>
      <c r="BS80" s="16"/>
      <c r="BT80" s="26"/>
      <c r="BU80" s="16"/>
      <c r="BV80" s="16"/>
      <c r="BW80" s="16"/>
    </row>
    <row r="81" spans="1:75" ht="15.75" hidden="1" customHeight="1">
      <c r="A81" s="40"/>
      <c r="B81" s="500">
        <v>154980</v>
      </c>
      <c r="C81" s="497">
        <f t="shared" ref="C81:D81" si="163">B82</f>
        <v>158880</v>
      </c>
      <c r="D81" s="509">
        <f t="shared" si="163"/>
        <v>162780</v>
      </c>
      <c r="E81" s="223">
        <v>162780</v>
      </c>
      <c r="F81" s="40"/>
      <c r="G81" s="1"/>
      <c r="H81" s="1"/>
      <c r="I81" s="40"/>
      <c r="J81" s="1"/>
      <c r="K81" s="1"/>
      <c r="L81" s="40"/>
      <c r="M81" s="1"/>
      <c r="N81" s="1"/>
      <c r="O81" s="1"/>
      <c r="P81" s="1"/>
      <c r="Q81" s="1"/>
      <c r="R81" s="1"/>
      <c r="S81" s="40"/>
      <c r="T81" s="1"/>
      <c r="U81" s="1"/>
      <c r="V81" s="1"/>
      <c r="W81" s="1"/>
      <c r="X81" s="1"/>
      <c r="Y81" s="3"/>
      <c r="Z81" s="40"/>
      <c r="AA81" s="1"/>
      <c r="AB81" s="1"/>
      <c r="AC81" s="1"/>
      <c r="AD81" s="1"/>
      <c r="AE81" s="40"/>
      <c r="AF81" s="1"/>
      <c r="AG81" s="1"/>
      <c r="AH81" s="1"/>
      <c r="AI81" s="40"/>
      <c r="AJ81" s="1"/>
      <c r="AK81" s="4"/>
      <c r="AL81" s="482"/>
      <c r="AM81" s="40"/>
      <c r="AN81" s="1"/>
      <c r="AO81" s="1"/>
      <c r="AP81" s="4"/>
      <c r="AQ81" s="1"/>
      <c r="AR81" s="1"/>
      <c r="AS81" s="1"/>
      <c r="AT81" s="1"/>
      <c r="AU81" s="1"/>
      <c r="AV81" s="40"/>
      <c r="AW81" s="1"/>
      <c r="AX81" s="506"/>
      <c r="AY81" s="506"/>
      <c r="AZ81" s="506"/>
      <c r="BA81" s="506"/>
      <c r="BB81" s="506"/>
      <c r="BC81" s="506"/>
      <c r="BD81" s="546"/>
      <c r="BE81" s="506"/>
      <c r="BF81" s="506"/>
      <c r="BG81" s="506"/>
      <c r="BH81" s="506"/>
      <c r="BI81" s="506"/>
      <c r="BJ81" s="546"/>
      <c r="BK81" s="506"/>
      <c r="BL81" s="506"/>
      <c r="BM81" s="506"/>
      <c r="BN81" s="506"/>
      <c r="BO81" s="506"/>
      <c r="BP81" s="16"/>
      <c r="BQ81" s="16"/>
      <c r="BR81" s="16"/>
      <c r="BS81" s="16"/>
      <c r="BT81" s="26"/>
      <c r="BU81" s="16"/>
      <c r="BV81" s="16"/>
      <c r="BW81" s="16"/>
    </row>
    <row r="82" spans="1:75" ht="15.75" hidden="1" customHeight="1">
      <c r="A82" s="40"/>
      <c r="B82" s="500">
        <v>158880</v>
      </c>
      <c r="C82" s="497">
        <f t="shared" ref="C82:D82" si="164">B83</f>
        <v>162780</v>
      </c>
      <c r="D82" s="509">
        <f t="shared" si="164"/>
        <v>166680</v>
      </c>
      <c r="E82" s="223">
        <v>166680</v>
      </c>
      <c r="F82" s="40"/>
      <c r="G82" s="1"/>
      <c r="H82" s="1"/>
      <c r="I82" s="40"/>
      <c r="J82" s="1"/>
      <c r="K82" s="1"/>
      <c r="L82" s="40"/>
      <c r="M82" s="1"/>
      <c r="N82" s="1"/>
      <c r="O82" s="1"/>
      <c r="P82" s="1"/>
      <c r="Q82" s="1"/>
      <c r="R82" s="1"/>
      <c r="S82" s="40"/>
      <c r="T82" s="1"/>
      <c r="U82" s="1"/>
      <c r="V82" s="1"/>
      <c r="W82" s="1"/>
      <c r="X82" s="1"/>
      <c r="Y82" s="3"/>
      <c r="Z82" s="40"/>
      <c r="AA82" s="1"/>
      <c r="AB82" s="1"/>
      <c r="AC82" s="1"/>
      <c r="AD82" s="1"/>
      <c r="AE82" s="40"/>
      <c r="AF82" s="1"/>
      <c r="AG82" s="1"/>
      <c r="AH82" s="1"/>
      <c r="AI82" s="40"/>
      <c r="AJ82" s="1"/>
      <c r="AK82" s="4"/>
      <c r="AL82" s="482"/>
      <c r="AM82" s="40"/>
      <c r="AN82" s="1"/>
      <c r="AO82" s="1"/>
      <c r="AP82" s="4"/>
      <c r="AQ82" s="1"/>
      <c r="AR82" s="1"/>
      <c r="AS82" s="1"/>
      <c r="AT82" s="1"/>
      <c r="AU82" s="1"/>
      <c r="AV82" s="40"/>
      <c r="AW82" s="1"/>
      <c r="AX82" s="506"/>
      <c r="AY82" s="506"/>
      <c r="AZ82" s="506"/>
      <c r="BA82" s="506"/>
      <c r="BB82" s="506"/>
      <c r="BC82" s="506"/>
      <c r="BD82" s="546"/>
      <c r="BE82" s="506"/>
      <c r="BF82" s="506"/>
      <c r="BG82" s="506"/>
      <c r="BH82" s="506"/>
      <c r="BI82" s="506"/>
      <c r="BJ82" s="546"/>
      <c r="BK82" s="506"/>
      <c r="BL82" s="506"/>
      <c r="BM82" s="506"/>
      <c r="BN82" s="506"/>
      <c r="BO82" s="506"/>
      <c r="BP82" s="16"/>
      <c r="BQ82" s="16"/>
      <c r="BR82" s="16"/>
      <c r="BS82" s="16"/>
      <c r="BT82" s="26"/>
      <c r="BU82" s="16"/>
      <c r="BV82" s="16"/>
      <c r="BW82" s="16"/>
    </row>
    <row r="83" spans="1:75" ht="15.75" hidden="1" customHeight="1">
      <c r="A83" s="40"/>
      <c r="B83" s="497">
        <v>162780</v>
      </c>
      <c r="C83" s="497">
        <f t="shared" ref="C83:D83" si="165">B84</f>
        <v>166680</v>
      </c>
      <c r="D83" s="509">
        <f t="shared" si="165"/>
        <v>170580</v>
      </c>
      <c r="E83" s="223">
        <v>170580</v>
      </c>
      <c r="F83" s="40"/>
      <c r="G83" s="1"/>
      <c r="H83" s="1"/>
      <c r="I83" s="40"/>
      <c r="J83" s="1"/>
      <c r="K83" s="1"/>
      <c r="L83" s="40"/>
      <c r="M83" s="1"/>
      <c r="N83" s="1"/>
      <c r="O83" s="1"/>
      <c r="P83" s="1"/>
      <c r="Q83" s="1"/>
      <c r="R83" s="1"/>
      <c r="S83" s="40"/>
      <c r="T83" s="1"/>
      <c r="U83" s="1"/>
      <c r="V83" s="1"/>
      <c r="W83" s="1"/>
      <c r="X83" s="1"/>
      <c r="Y83" s="3"/>
      <c r="Z83" s="40"/>
      <c r="AA83" s="1"/>
      <c r="AB83" s="1"/>
      <c r="AC83" s="1"/>
      <c r="AD83" s="1"/>
      <c r="AE83" s="40"/>
      <c r="AF83" s="1"/>
      <c r="AG83" s="1"/>
      <c r="AH83" s="1"/>
      <c r="AI83" s="40"/>
      <c r="AJ83" s="1"/>
      <c r="AK83" s="4"/>
      <c r="AL83" s="482"/>
      <c r="AM83" s="40"/>
      <c r="AN83" s="1"/>
      <c r="AO83" s="1"/>
      <c r="AP83" s="4"/>
      <c r="AQ83" s="1"/>
      <c r="AR83" s="1"/>
      <c r="AS83" s="1"/>
      <c r="AT83" s="1"/>
      <c r="AU83" s="1"/>
      <c r="AV83" s="40"/>
      <c r="AW83" s="1"/>
      <c r="AX83" s="506"/>
      <c r="AY83" s="506"/>
      <c r="AZ83" s="506"/>
      <c r="BA83" s="506"/>
      <c r="BB83" s="506"/>
      <c r="BC83" s="506"/>
      <c r="BD83" s="546"/>
      <c r="BE83" s="506"/>
      <c r="BF83" s="506"/>
      <c r="BG83" s="506"/>
      <c r="BH83" s="506"/>
      <c r="BI83" s="506"/>
      <c r="BJ83" s="546"/>
      <c r="BK83" s="506"/>
      <c r="BL83" s="506"/>
      <c r="BM83" s="506"/>
      <c r="BN83" s="506"/>
      <c r="BO83" s="506"/>
      <c r="BP83" s="16"/>
      <c r="BQ83" s="16"/>
      <c r="BR83" s="16"/>
      <c r="BS83" s="16"/>
      <c r="BT83" s="26"/>
      <c r="BU83" s="16"/>
      <c r="BV83" s="16"/>
      <c r="BW83" s="16"/>
    </row>
    <row r="84" spans="1:75" ht="15.75" hidden="1" customHeight="1">
      <c r="A84" s="40"/>
      <c r="B84" s="644">
        <v>166680</v>
      </c>
      <c r="C84" s="644">
        <f>B85</f>
        <v>170580</v>
      </c>
      <c r="D84" s="130"/>
      <c r="E84" s="645">
        <v>174790</v>
      </c>
      <c r="F84" s="40"/>
      <c r="G84" s="1"/>
      <c r="H84" s="1"/>
      <c r="I84" s="40"/>
      <c r="J84" s="1"/>
      <c r="K84" s="1"/>
      <c r="L84" s="40"/>
      <c r="M84" s="1"/>
      <c r="N84" s="1"/>
      <c r="O84" s="1"/>
      <c r="P84" s="1"/>
      <c r="Q84" s="1"/>
      <c r="R84" s="1"/>
      <c r="S84" s="40"/>
      <c r="T84" s="1"/>
      <c r="U84" s="1"/>
      <c r="V84" s="1"/>
      <c r="W84" s="1"/>
      <c r="X84" s="1"/>
      <c r="Y84" s="3"/>
      <c r="Z84" s="40"/>
      <c r="AA84" s="1"/>
      <c r="AB84" s="1"/>
      <c r="AC84" s="1"/>
      <c r="AD84" s="1"/>
      <c r="AE84" s="40"/>
      <c r="AF84" s="1"/>
      <c r="AG84" s="1"/>
      <c r="AH84" s="1"/>
      <c r="AI84" s="40"/>
      <c r="AJ84" s="1"/>
      <c r="AK84" s="4"/>
      <c r="AL84" s="482"/>
      <c r="AM84" s="40"/>
      <c r="AN84" s="1"/>
      <c r="AO84" s="1"/>
      <c r="AP84" s="4"/>
      <c r="AQ84" s="1"/>
      <c r="AR84" s="1"/>
      <c r="AS84" s="1"/>
      <c r="AT84" s="1"/>
      <c r="AU84" s="1"/>
      <c r="AV84" s="40"/>
      <c r="AW84" s="1"/>
      <c r="AX84" s="506"/>
      <c r="AY84" s="506"/>
      <c r="AZ84" s="506"/>
      <c r="BA84" s="506"/>
      <c r="BB84" s="506"/>
      <c r="BC84" s="506"/>
      <c r="BD84" s="546"/>
      <c r="BE84" s="506"/>
      <c r="BF84" s="506"/>
      <c r="BG84" s="506"/>
      <c r="BH84" s="506"/>
      <c r="BI84" s="506"/>
      <c r="BJ84" s="546"/>
      <c r="BK84" s="506"/>
      <c r="BL84" s="506"/>
      <c r="BM84" s="506"/>
      <c r="BN84" s="506"/>
      <c r="BO84" s="506"/>
      <c r="BP84" s="16"/>
      <c r="BQ84" s="16"/>
      <c r="BR84" s="16"/>
      <c r="BS84" s="16"/>
      <c r="BT84" s="26"/>
      <c r="BU84" s="16"/>
      <c r="BV84" s="16"/>
      <c r="BW84" s="16"/>
    </row>
    <row r="85" spans="1:75" ht="15.75" hidden="1" customHeight="1">
      <c r="A85" s="40"/>
      <c r="B85" s="497">
        <v>170580</v>
      </c>
      <c r="C85" s="497"/>
      <c r="D85" s="497"/>
      <c r="E85" s="223">
        <v>179000</v>
      </c>
      <c r="F85" s="40"/>
      <c r="G85" s="1"/>
      <c r="H85" s="1"/>
      <c r="I85" s="40"/>
      <c r="J85" s="1"/>
      <c r="K85" s="1"/>
      <c r="L85" s="40"/>
      <c r="M85" s="1"/>
      <c r="N85" s="1"/>
      <c r="O85" s="1"/>
      <c r="P85" s="1"/>
      <c r="Q85" s="1"/>
      <c r="R85" s="1"/>
      <c r="S85" s="40"/>
      <c r="T85" s="1"/>
      <c r="U85" s="1"/>
      <c r="V85" s="1"/>
      <c r="W85" s="1"/>
      <c r="X85" s="1"/>
      <c r="Y85" s="3"/>
      <c r="Z85" s="40"/>
      <c r="AA85" s="1"/>
      <c r="AB85" s="1"/>
      <c r="AC85" s="1"/>
      <c r="AD85" s="1"/>
      <c r="AE85" s="40"/>
      <c r="AF85" s="1"/>
      <c r="AG85" s="1"/>
      <c r="AH85" s="1"/>
      <c r="AI85" s="40"/>
      <c r="AJ85" s="1"/>
      <c r="AK85" s="1"/>
      <c r="AL85" s="1"/>
      <c r="AM85" s="40"/>
      <c r="AN85" s="1"/>
      <c r="AO85" s="1"/>
      <c r="AP85" s="1"/>
      <c r="AQ85" s="1"/>
      <c r="AR85" s="1"/>
      <c r="AS85" s="1"/>
      <c r="AT85" s="1"/>
      <c r="AU85" s="1"/>
      <c r="AV85" s="40"/>
      <c r="AW85" s="1"/>
      <c r="AX85" s="506"/>
      <c r="AY85" s="506"/>
      <c r="AZ85" s="506"/>
      <c r="BA85" s="506"/>
      <c r="BB85" s="506"/>
      <c r="BC85" s="506"/>
      <c r="BD85" s="546"/>
      <c r="BE85" s="506"/>
      <c r="BF85" s="506"/>
      <c r="BG85" s="506"/>
      <c r="BH85" s="506"/>
      <c r="BI85" s="506"/>
      <c r="BJ85" s="546"/>
      <c r="BK85" s="506"/>
      <c r="BL85" s="506"/>
      <c r="BM85" s="506"/>
      <c r="BN85" s="506"/>
      <c r="BO85" s="506"/>
      <c r="BP85" s="16"/>
      <c r="BQ85" s="16"/>
      <c r="BR85" s="16"/>
      <c r="BS85" s="16"/>
      <c r="BT85" s="26"/>
      <c r="BU85" s="16"/>
      <c r="BV85" s="16"/>
      <c r="BW85" s="16"/>
    </row>
    <row r="86" spans="1:75" ht="15.75" hidden="1" customHeight="1">
      <c r="A86" s="40"/>
      <c r="B86" s="646">
        <v>174790</v>
      </c>
      <c r="C86" s="497"/>
      <c r="D86" s="646"/>
      <c r="E86" s="646"/>
      <c r="F86" s="40"/>
      <c r="G86" s="1"/>
      <c r="H86" s="1"/>
      <c r="I86" s="40"/>
      <c r="J86" s="1"/>
      <c r="K86" s="1"/>
      <c r="L86" s="40"/>
      <c r="M86" s="1"/>
      <c r="N86" s="1"/>
      <c r="O86" s="1"/>
      <c r="P86" s="1"/>
      <c r="Q86" s="1"/>
      <c r="R86" s="1"/>
      <c r="S86" s="40"/>
      <c r="T86" s="1"/>
      <c r="U86" s="1"/>
      <c r="V86" s="1"/>
      <c r="W86" s="1"/>
      <c r="X86" s="1"/>
      <c r="Y86" s="3"/>
      <c r="Z86" s="40"/>
      <c r="AA86" s="1"/>
      <c r="AB86" s="1"/>
      <c r="AC86" s="1"/>
      <c r="AD86" s="1"/>
      <c r="AE86" s="40"/>
      <c r="AF86" s="1"/>
      <c r="AG86" s="1"/>
      <c r="AH86" s="1"/>
      <c r="AI86" s="40"/>
      <c r="AJ86" s="1"/>
      <c r="AK86" s="4"/>
      <c r="AL86" s="482"/>
      <c r="AM86" s="40"/>
      <c r="AN86" s="1"/>
      <c r="AO86" s="1"/>
      <c r="AP86" s="4"/>
      <c r="AQ86" s="1"/>
      <c r="AR86" s="1"/>
      <c r="AS86" s="1"/>
      <c r="AT86" s="1"/>
      <c r="AU86" s="1"/>
      <c r="AV86" s="40"/>
      <c r="AW86" s="1"/>
      <c r="AX86" s="506"/>
      <c r="AY86" s="506"/>
      <c r="AZ86" s="506"/>
      <c r="BA86" s="506"/>
      <c r="BB86" s="506"/>
      <c r="BC86" s="506"/>
      <c r="BD86" s="546"/>
      <c r="BE86" s="506"/>
      <c r="BF86" s="506"/>
      <c r="BG86" s="506"/>
      <c r="BH86" s="506"/>
      <c r="BI86" s="506"/>
      <c r="BJ86" s="546"/>
      <c r="BK86" s="506"/>
      <c r="BL86" s="506"/>
      <c r="BM86" s="506"/>
      <c r="BN86" s="506"/>
      <c r="BO86" s="506"/>
      <c r="BP86" s="16"/>
      <c r="BQ86" s="16"/>
      <c r="BR86" s="16"/>
      <c r="BS86" s="16"/>
      <c r="BT86" s="26"/>
      <c r="BU86" s="16"/>
      <c r="BV86" s="16"/>
      <c r="BW86" s="16"/>
    </row>
    <row r="87" spans="1:75" ht="15.75" hidden="1" customHeight="1">
      <c r="A87" s="647"/>
      <c r="B87" s="648">
        <v>179000</v>
      </c>
      <c r="C87" s="649"/>
      <c r="D87" s="650"/>
      <c r="E87" s="650"/>
      <c r="F87" s="651"/>
      <c r="G87" s="652"/>
      <c r="H87" s="652"/>
      <c r="I87" s="651"/>
      <c r="J87" s="652"/>
      <c r="K87" s="652"/>
      <c r="L87" s="651"/>
      <c r="M87" s="652"/>
      <c r="N87" s="652"/>
      <c r="O87" s="652"/>
      <c r="P87" s="652"/>
      <c r="Q87" s="652"/>
      <c r="R87" s="652"/>
      <c r="S87" s="651"/>
      <c r="T87" s="652"/>
      <c r="U87" s="652"/>
      <c r="V87" s="652"/>
      <c r="W87" s="652"/>
      <c r="X87" s="652"/>
      <c r="Y87" s="653"/>
      <c r="Z87" s="651"/>
      <c r="AA87" s="652"/>
      <c r="AB87" s="652"/>
      <c r="AC87" s="652"/>
      <c r="AD87" s="652"/>
      <c r="AE87" s="651"/>
      <c r="AF87" s="652"/>
      <c r="AG87" s="652"/>
      <c r="AH87" s="652"/>
      <c r="AI87" s="651"/>
      <c r="AJ87" s="652"/>
      <c r="AK87" s="654"/>
      <c r="AL87" s="655"/>
      <c r="AM87" s="651"/>
      <c r="AN87" s="652"/>
      <c r="AO87" s="652"/>
      <c r="AP87" s="654"/>
      <c r="AQ87" s="652"/>
      <c r="AR87" s="652"/>
      <c r="AS87" s="652"/>
      <c r="AT87" s="652"/>
      <c r="AU87" s="652"/>
      <c r="AV87" s="651"/>
      <c r="AW87" s="652"/>
      <c r="AX87" s="656"/>
      <c r="AY87" s="656"/>
      <c r="AZ87" s="656"/>
      <c r="BA87" s="656"/>
      <c r="BB87" s="656"/>
      <c r="BC87" s="656"/>
      <c r="BD87" s="657"/>
      <c r="BE87" s="656"/>
      <c r="BF87" s="656"/>
      <c r="BG87" s="656"/>
      <c r="BH87" s="656"/>
      <c r="BI87" s="656"/>
      <c r="BJ87" s="657"/>
      <c r="BK87" s="656"/>
      <c r="BL87" s="656"/>
      <c r="BM87" s="656"/>
      <c r="BN87" s="656"/>
      <c r="BO87" s="656"/>
      <c r="BP87" s="658"/>
      <c r="BQ87" s="658"/>
      <c r="BR87" s="658"/>
      <c r="BS87" s="658"/>
      <c r="BT87" s="26"/>
      <c r="BU87" s="16"/>
      <c r="BV87" s="16"/>
      <c r="BW87" s="16"/>
    </row>
    <row r="88" spans="1:75" ht="15.75" hidden="1" customHeight="1">
      <c r="A88" s="40"/>
      <c r="B88" s="40"/>
      <c r="C88" s="488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659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660"/>
      <c r="AL88" s="661"/>
      <c r="AM88" s="40"/>
      <c r="AN88" s="40"/>
      <c r="AO88" s="40"/>
      <c r="AP88" s="660"/>
      <c r="AQ88" s="40"/>
      <c r="AR88" s="40"/>
      <c r="AS88" s="40"/>
      <c r="AT88" s="40"/>
      <c r="AU88" s="40"/>
      <c r="AV88" s="40"/>
      <c r="AW88" s="40"/>
      <c r="AX88" s="662"/>
      <c r="AY88" s="662"/>
      <c r="AZ88" s="662"/>
      <c r="BA88" s="662"/>
      <c r="BB88" s="662"/>
      <c r="BC88" s="662"/>
      <c r="BD88" s="663"/>
      <c r="BE88" s="662"/>
      <c r="BF88" s="662"/>
      <c r="BG88" s="662"/>
      <c r="BH88" s="662"/>
      <c r="BI88" s="662"/>
      <c r="BJ88" s="663"/>
      <c r="BK88" s="662"/>
      <c r="BL88" s="662"/>
      <c r="BM88" s="662"/>
      <c r="BN88" s="662"/>
      <c r="BO88" s="662"/>
      <c r="BP88" s="26"/>
      <c r="BQ88" s="26"/>
      <c r="BR88" s="26"/>
      <c r="BS88" s="26"/>
      <c r="BT88" s="26"/>
      <c r="BU88" s="16"/>
      <c r="BV88" s="16"/>
      <c r="BW88" s="16"/>
    </row>
    <row r="89" spans="1:75" ht="15.75" hidden="1" customHeight="1">
      <c r="A89" s="1"/>
      <c r="B89" s="1"/>
      <c r="C89" s="13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4"/>
      <c r="AL89" s="482"/>
      <c r="AM89" s="1"/>
      <c r="AN89" s="1"/>
      <c r="AO89" s="1"/>
      <c r="AP89" s="4"/>
      <c r="AQ89" s="1"/>
      <c r="AR89" s="1"/>
      <c r="AS89" s="1"/>
      <c r="AT89" s="1"/>
      <c r="AU89" s="1"/>
      <c r="AV89" s="1"/>
      <c r="AW89" s="1"/>
      <c r="AX89" s="506"/>
      <c r="AY89" s="506"/>
      <c r="AZ89" s="506"/>
      <c r="BA89" s="506"/>
      <c r="BB89" s="506"/>
      <c r="BC89" s="506"/>
      <c r="BD89" s="546"/>
      <c r="BE89" s="506"/>
      <c r="BF89" s="506"/>
      <c r="BG89" s="506"/>
      <c r="BH89" s="506"/>
      <c r="BI89" s="506"/>
      <c r="BJ89" s="546"/>
      <c r="BK89" s="506"/>
      <c r="BL89" s="506"/>
      <c r="BM89" s="506"/>
      <c r="BN89" s="506"/>
      <c r="BO89" s="506"/>
      <c r="BP89" s="16"/>
      <c r="BQ89" s="16"/>
      <c r="BR89" s="16"/>
      <c r="BS89" s="16"/>
      <c r="BT89" s="16"/>
      <c r="BU89" s="16"/>
      <c r="BV89" s="16"/>
      <c r="BW89" s="16"/>
    </row>
    <row r="90" spans="1:75" ht="15.75" hidden="1" customHeight="1">
      <c r="A90" s="1"/>
      <c r="B90" s="1"/>
      <c r="C90" s="13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4"/>
      <c r="AL90" s="482"/>
      <c r="AM90" s="1"/>
      <c r="AN90" s="1"/>
      <c r="AO90" s="1"/>
      <c r="AP90" s="4"/>
      <c r="AQ90" s="1"/>
      <c r="AR90" s="1"/>
      <c r="AS90" s="1"/>
      <c r="AT90" s="1"/>
      <c r="AU90" s="1"/>
      <c r="AV90" s="1"/>
      <c r="AW90" s="1"/>
      <c r="AX90" s="506"/>
      <c r="AY90" s="506"/>
      <c r="AZ90" s="506"/>
      <c r="BA90" s="506"/>
      <c r="BB90" s="506"/>
      <c r="BC90" s="506"/>
      <c r="BD90" s="546"/>
      <c r="BE90" s="506"/>
      <c r="BF90" s="506"/>
      <c r="BG90" s="506"/>
      <c r="BH90" s="506"/>
      <c r="BI90" s="506"/>
      <c r="BJ90" s="546"/>
      <c r="BK90" s="506"/>
      <c r="BL90" s="506"/>
      <c r="BM90" s="506"/>
      <c r="BN90" s="506"/>
      <c r="BO90" s="506"/>
      <c r="BP90" s="16"/>
      <c r="BQ90" s="16"/>
      <c r="BR90" s="16"/>
      <c r="BS90" s="16"/>
      <c r="BT90" s="16"/>
      <c r="BU90" s="16"/>
      <c r="BV90" s="16"/>
      <c r="BW90" s="16"/>
    </row>
    <row r="91" spans="1:75" ht="15.75" hidden="1" customHeight="1">
      <c r="A91" s="1"/>
      <c r="B91" s="1"/>
      <c r="C91" s="13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4"/>
      <c r="AL91" s="482"/>
      <c r="AM91" s="1"/>
      <c r="AN91" s="1"/>
      <c r="AO91" s="1"/>
      <c r="AP91" s="4"/>
      <c r="AQ91" s="1"/>
      <c r="AR91" s="1"/>
      <c r="AS91" s="1"/>
      <c r="AT91" s="1"/>
      <c r="AU91" s="1"/>
      <c r="AV91" s="1"/>
      <c r="AW91" s="1"/>
      <c r="AX91" s="506"/>
      <c r="AY91" s="506"/>
      <c r="AZ91" s="506"/>
      <c r="BA91" s="506"/>
      <c r="BB91" s="506"/>
      <c r="BC91" s="506"/>
      <c r="BD91" s="546"/>
      <c r="BE91" s="506"/>
      <c r="BF91" s="506"/>
      <c r="BG91" s="506"/>
      <c r="BH91" s="506"/>
      <c r="BI91" s="506"/>
      <c r="BJ91" s="546"/>
      <c r="BK91" s="506"/>
      <c r="BL91" s="506"/>
      <c r="BM91" s="506"/>
      <c r="BN91" s="506"/>
      <c r="BO91" s="506"/>
      <c r="BP91" s="16"/>
      <c r="BQ91" s="16"/>
      <c r="BR91" s="16"/>
      <c r="BS91" s="16"/>
      <c r="BT91" s="16"/>
      <c r="BU91" s="16"/>
      <c r="BV91" s="16"/>
      <c r="BW91" s="16"/>
    </row>
    <row r="92" spans="1:75" ht="15.75" hidden="1" customHeight="1">
      <c r="A92" s="1"/>
      <c r="B92" s="1"/>
      <c r="C92" s="13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4"/>
      <c r="AL92" s="482"/>
      <c r="AM92" s="1"/>
      <c r="AN92" s="1"/>
      <c r="AO92" s="1"/>
      <c r="AP92" s="4"/>
      <c r="AQ92" s="1"/>
      <c r="AR92" s="1"/>
      <c r="AS92" s="1"/>
      <c r="AT92" s="1"/>
      <c r="AU92" s="1"/>
      <c r="AV92" s="1"/>
      <c r="AW92" s="1"/>
      <c r="AX92" s="506"/>
      <c r="AY92" s="506"/>
      <c r="AZ92" s="506"/>
      <c r="BA92" s="506"/>
      <c r="BB92" s="506"/>
      <c r="BC92" s="506"/>
      <c r="BD92" s="546"/>
      <c r="BE92" s="506"/>
      <c r="BF92" s="506"/>
      <c r="BG92" s="506"/>
      <c r="BH92" s="506"/>
      <c r="BI92" s="506"/>
      <c r="BJ92" s="546"/>
      <c r="BK92" s="506"/>
      <c r="BL92" s="506"/>
      <c r="BM92" s="506"/>
      <c r="BN92" s="506"/>
      <c r="BO92" s="506"/>
      <c r="BP92" s="16"/>
      <c r="BQ92" s="16"/>
      <c r="BR92" s="16"/>
      <c r="BS92" s="16"/>
      <c r="BT92" s="16"/>
      <c r="BU92" s="16"/>
      <c r="BV92" s="16"/>
      <c r="BW92" s="16"/>
    </row>
    <row r="93" spans="1:75" ht="15.75" hidden="1" customHeight="1">
      <c r="A93" s="1"/>
      <c r="B93" s="1"/>
      <c r="C93" s="13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4"/>
      <c r="AL93" s="482"/>
      <c r="AM93" s="1"/>
      <c r="AN93" s="1"/>
      <c r="AO93" s="1"/>
      <c r="AP93" s="4"/>
      <c r="AQ93" s="1"/>
      <c r="AR93" s="1"/>
      <c r="AS93" s="1"/>
      <c r="AT93" s="1"/>
      <c r="AU93" s="1"/>
      <c r="AV93" s="1"/>
      <c r="AW93" s="1"/>
      <c r="AX93" s="506"/>
      <c r="AY93" s="506"/>
      <c r="AZ93" s="506"/>
      <c r="BA93" s="506"/>
      <c r="BB93" s="506"/>
      <c r="BC93" s="506"/>
      <c r="BD93" s="546"/>
      <c r="BE93" s="506"/>
      <c r="BF93" s="506"/>
      <c r="BG93" s="506"/>
      <c r="BH93" s="506"/>
      <c r="BI93" s="506"/>
      <c r="BJ93" s="546"/>
      <c r="BK93" s="506"/>
      <c r="BL93" s="506"/>
      <c r="BM93" s="506"/>
      <c r="BN93" s="506"/>
      <c r="BO93" s="506"/>
      <c r="BP93" s="16"/>
      <c r="BQ93" s="16"/>
      <c r="BR93" s="16"/>
      <c r="BS93" s="16"/>
      <c r="BT93" s="16"/>
      <c r="BU93" s="16"/>
      <c r="BV93" s="16"/>
      <c r="BW93" s="16"/>
    </row>
    <row r="94" spans="1:75" ht="15.75" hidden="1" customHeight="1">
      <c r="A94" s="1"/>
      <c r="B94" s="1"/>
      <c r="C94" s="13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4"/>
      <c r="AL94" s="482"/>
      <c r="AM94" s="1"/>
      <c r="AN94" s="1"/>
      <c r="AO94" s="1"/>
      <c r="AP94" s="4"/>
      <c r="AQ94" s="1"/>
      <c r="AR94" s="1"/>
      <c r="AS94" s="1"/>
      <c r="AT94" s="1"/>
      <c r="AU94" s="1"/>
      <c r="AV94" s="1"/>
      <c r="AW94" s="1"/>
      <c r="AX94" s="506"/>
      <c r="AY94" s="506"/>
      <c r="AZ94" s="506"/>
      <c r="BA94" s="506"/>
      <c r="BB94" s="506"/>
      <c r="BC94" s="506"/>
      <c r="BD94" s="546"/>
      <c r="BE94" s="506"/>
      <c r="BF94" s="506"/>
      <c r="BG94" s="506"/>
      <c r="BH94" s="506"/>
      <c r="BI94" s="506"/>
      <c r="BJ94" s="546"/>
      <c r="BK94" s="506"/>
      <c r="BL94" s="506"/>
      <c r="BM94" s="506"/>
      <c r="BN94" s="506"/>
      <c r="BO94" s="506"/>
      <c r="BP94" s="16"/>
      <c r="BQ94" s="16"/>
      <c r="BR94" s="16"/>
      <c r="BS94" s="16"/>
      <c r="BT94" s="16"/>
      <c r="BU94" s="16"/>
      <c r="BV94" s="16"/>
      <c r="BW94" s="16"/>
    </row>
    <row r="95" spans="1:75" ht="15.75" hidden="1" customHeight="1">
      <c r="A95" s="1"/>
      <c r="B95" s="1"/>
      <c r="C95" s="13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4"/>
      <c r="AL95" s="482"/>
      <c r="AM95" s="1"/>
      <c r="AN95" s="1"/>
      <c r="AO95" s="1"/>
      <c r="AP95" s="4"/>
      <c r="AQ95" s="1"/>
      <c r="AR95" s="1"/>
      <c r="AS95" s="1"/>
      <c r="AT95" s="1"/>
      <c r="AU95" s="1"/>
      <c r="AV95" s="1"/>
      <c r="AW95" s="1"/>
      <c r="AX95" s="506"/>
      <c r="AY95" s="506"/>
      <c r="AZ95" s="506"/>
      <c r="BA95" s="506"/>
      <c r="BB95" s="506"/>
      <c r="BC95" s="506"/>
      <c r="BD95" s="546"/>
      <c r="BE95" s="506"/>
      <c r="BF95" s="506"/>
      <c r="BG95" s="506"/>
      <c r="BH95" s="506"/>
      <c r="BI95" s="506"/>
      <c r="BJ95" s="546"/>
      <c r="BK95" s="506"/>
      <c r="BL95" s="506"/>
      <c r="BM95" s="506"/>
      <c r="BN95" s="506"/>
      <c r="BO95" s="506"/>
      <c r="BP95" s="16"/>
      <c r="BQ95" s="16"/>
      <c r="BR95" s="16"/>
      <c r="BS95" s="16"/>
      <c r="BT95" s="16"/>
      <c r="BU95" s="16"/>
      <c r="BV95" s="16"/>
      <c r="BW95" s="16"/>
    </row>
    <row r="96" spans="1:75" ht="15.75" hidden="1" customHeight="1">
      <c r="A96" s="1"/>
      <c r="B96" s="1"/>
      <c r="C96" s="13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4"/>
      <c r="AL96" s="482"/>
      <c r="AM96" s="1"/>
      <c r="AN96" s="1"/>
      <c r="AO96" s="1"/>
      <c r="AP96" s="4"/>
      <c r="AQ96" s="1"/>
      <c r="AR96" s="1"/>
      <c r="AS96" s="1"/>
      <c r="AT96" s="1"/>
      <c r="AU96" s="1"/>
      <c r="AV96" s="1"/>
      <c r="AW96" s="1"/>
      <c r="AX96" s="506"/>
      <c r="AY96" s="506"/>
      <c r="AZ96" s="506"/>
      <c r="BA96" s="506"/>
      <c r="BB96" s="506"/>
      <c r="BC96" s="506"/>
      <c r="BD96" s="546"/>
      <c r="BE96" s="506"/>
      <c r="BF96" s="506"/>
      <c r="BG96" s="506"/>
      <c r="BH96" s="506"/>
      <c r="BI96" s="506"/>
      <c r="BJ96" s="546"/>
      <c r="BK96" s="506"/>
      <c r="BL96" s="506"/>
      <c r="BM96" s="506"/>
      <c r="BN96" s="506"/>
      <c r="BO96" s="506"/>
      <c r="BP96" s="16"/>
      <c r="BQ96" s="16"/>
      <c r="BR96" s="16"/>
      <c r="BS96" s="16"/>
      <c r="BT96" s="16"/>
      <c r="BU96" s="16"/>
      <c r="BV96" s="16"/>
      <c r="BW96" s="16"/>
    </row>
    <row r="97" spans="1:75" ht="15.75" hidden="1" customHeight="1">
      <c r="A97" s="1"/>
      <c r="B97" s="1"/>
      <c r="C97" s="13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4"/>
      <c r="AL97" s="482"/>
      <c r="AM97" s="1"/>
      <c r="AN97" s="1"/>
      <c r="AO97" s="1"/>
      <c r="AP97" s="4"/>
      <c r="AQ97" s="1"/>
      <c r="AR97" s="1"/>
      <c r="AS97" s="1"/>
      <c r="AT97" s="1"/>
      <c r="AU97" s="1"/>
      <c r="AV97" s="1"/>
      <c r="AW97" s="1"/>
      <c r="AX97" s="506"/>
      <c r="AY97" s="506"/>
      <c r="AZ97" s="506"/>
      <c r="BA97" s="506"/>
      <c r="BB97" s="506"/>
      <c r="BC97" s="506"/>
      <c r="BD97" s="546"/>
      <c r="BE97" s="506"/>
      <c r="BF97" s="506"/>
      <c r="BG97" s="506"/>
      <c r="BH97" s="506"/>
      <c r="BI97" s="506"/>
      <c r="BJ97" s="546"/>
      <c r="BK97" s="506"/>
      <c r="BL97" s="506"/>
      <c r="BM97" s="506"/>
      <c r="BN97" s="506"/>
      <c r="BO97" s="506"/>
      <c r="BP97" s="16"/>
      <c r="BQ97" s="16"/>
      <c r="BR97" s="16"/>
      <c r="BS97" s="16"/>
      <c r="BT97" s="16"/>
      <c r="BU97" s="16"/>
      <c r="BV97" s="16"/>
      <c r="BW97" s="16"/>
    </row>
    <row r="98" spans="1:75" ht="15.75" hidden="1" customHeight="1">
      <c r="A98" s="1"/>
      <c r="B98" s="1"/>
      <c r="C98" s="13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4"/>
      <c r="AL98" s="482"/>
      <c r="AM98" s="1"/>
      <c r="AN98" s="1"/>
      <c r="AO98" s="1"/>
      <c r="AP98" s="4"/>
      <c r="AQ98" s="1"/>
      <c r="AR98" s="1"/>
      <c r="AS98" s="1"/>
      <c r="AT98" s="1"/>
      <c r="AU98" s="1"/>
      <c r="AV98" s="1"/>
      <c r="AW98" s="1"/>
      <c r="AX98" s="506"/>
      <c r="AY98" s="506"/>
      <c r="AZ98" s="506"/>
      <c r="BA98" s="506"/>
      <c r="BB98" s="506"/>
      <c r="BC98" s="506"/>
      <c r="BD98" s="546"/>
      <c r="BE98" s="506"/>
      <c r="BF98" s="506"/>
      <c r="BG98" s="506"/>
      <c r="BH98" s="506"/>
      <c r="BI98" s="506"/>
      <c r="BJ98" s="546"/>
      <c r="BK98" s="506"/>
      <c r="BL98" s="506"/>
      <c r="BM98" s="506"/>
      <c r="BN98" s="506"/>
      <c r="BO98" s="506"/>
      <c r="BP98" s="16"/>
      <c r="BQ98" s="16"/>
      <c r="BR98" s="16"/>
      <c r="BS98" s="16"/>
      <c r="BT98" s="16"/>
      <c r="BU98" s="16"/>
      <c r="BV98" s="16"/>
      <c r="BW98" s="16"/>
    </row>
    <row r="99" spans="1:75" ht="15.75" hidden="1" customHeight="1">
      <c r="A99" s="1"/>
      <c r="B99" s="1"/>
      <c r="C99" s="13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4"/>
      <c r="AL99" s="482"/>
      <c r="AM99" s="1"/>
      <c r="AN99" s="1"/>
      <c r="AO99" s="1"/>
      <c r="AP99" s="4"/>
      <c r="AQ99" s="1"/>
      <c r="AR99" s="1"/>
      <c r="AS99" s="1"/>
      <c r="AT99" s="1"/>
      <c r="AU99" s="1"/>
      <c r="AV99" s="1"/>
      <c r="AW99" s="1"/>
      <c r="AX99" s="506"/>
      <c r="AY99" s="506"/>
      <c r="AZ99" s="506"/>
      <c r="BA99" s="506"/>
      <c r="BB99" s="506"/>
      <c r="BC99" s="506"/>
      <c r="BD99" s="546"/>
      <c r="BE99" s="506"/>
      <c r="BF99" s="506"/>
      <c r="BG99" s="506"/>
      <c r="BH99" s="506"/>
      <c r="BI99" s="506"/>
      <c r="BJ99" s="546"/>
      <c r="BK99" s="506"/>
      <c r="BL99" s="506"/>
      <c r="BM99" s="506"/>
      <c r="BN99" s="506"/>
      <c r="BO99" s="506"/>
      <c r="BP99" s="16"/>
      <c r="BQ99" s="16"/>
      <c r="BR99" s="16"/>
      <c r="BS99" s="16"/>
      <c r="BT99" s="16"/>
      <c r="BU99" s="16"/>
      <c r="BV99" s="16"/>
      <c r="BW99" s="16"/>
    </row>
    <row r="100" spans="1:75" ht="15.75" customHeight="1">
      <c r="A100" s="1"/>
      <c r="B100" s="1"/>
      <c r="C100" s="13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4"/>
      <c r="AL100" s="482"/>
      <c r="AM100" s="1"/>
      <c r="AN100" s="1"/>
      <c r="AO100" s="1"/>
      <c r="AP100" s="4"/>
      <c r="AQ100" s="1"/>
      <c r="AR100" s="1"/>
      <c r="AS100" s="1"/>
      <c r="AT100" s="1"/>
      <c r="AU100" s="1"/>
      <c r="AV100" s="1"/>
      <c r="AW100" s="1"/>
      <c r="AX100" s="506"/>
      <c r="AY100" s="506"/>
      <c r="AZ100" s="506"/>
      <c r="BA100" s="506"/>
      <c r="BB100" s="506"/>
      <c r="BC100" s="506"/>
      <c r="BD100" s="546"/>
      <c r="BE100" s="506"/>
      <c r="BF100" s="506"/>
      <c r="BG100" s="506"/>
      <c r="BH100" s="506"/>
      <c r="BI100" s="506"/>
      <c r="BJ100" s="546"/>
      <c r="BK100" s="506"/>
      <c r="BL100" s="506"/>
      <c r="BM100" s="506"/>
      <c r="BN100" s="506"/>
      <c r="BO100" s="506"/>
      <c r="BP100" s="16"/>
      <c r="BQ100" s="16"/>
      <c r="BR100" s="16"/>
      <c r="BS100" s="16"/>
      <c r="BT100" s="16"/>
      <c r="BU100" s="16"/>
      <c r="BV100" s="16"/>
      <c r="BW100" s="16"/>
    </row>
  </sheetData>
  <mergeCells count="30">
    <mergeCell ref="G7:H7"/>
    <mergeCell ref="AB3:AC3"/>
    <mergeCell ref="AB7:AD7"/>
    <mergeCell ref="AB2:AC2"/>
    <mergeCell ref="BQ20:BR20"/>
    <mergeCell ref="BQ18:BR18"/>
    <mergeCell ref="AX19:AY19"/>
    <mergeCell ref="AZ19:BA19"/>
    <mergeCell ref="BD19:BE19"/>
    <mergeCell ref="BF19:BG19"/>
    <mergeCell ref="X16:Y16"/>
    <mergeCell ref="BJ1:BK1"/>
    <mergeCell ref="BD1:BE1"/>
    <mergeCell ref="BF1:BG1"/>
    <mergeCell ref="AX1:AY1"/>
    <mergeCell ref="AZ1:BA1"/>
    <mergeCell ref="AX10:AY10"/>
    <mergeCell ref="AZ10:BA10"/>
    <mergeCell ref="BD10:BE10"/>
    <mergeCell ref="BF10:BG10"/>
    <mergeCell ref="AF2:AG2"/>
    <mergeCell ref="AF13:AH13"/>
    <mergeCell ref="AF3:AG3"/>
    <mergeCell ref="AZ29:BA29"/>
    <mergeCell ref="AX28:BB28"/>
    <mergeCell ref="BL1:BM1"/>
    <mergeCell ref="BJ10:BK10"/>
    <mergeCell ref="BL10:BM10"/>
    <mergeCell ref="BJ19:BK19"/>
    <mergeCell ref="BL19:BM19"/>
  </mergeCells>
  <conditionalFormatting sqref="M3:M40">
    <cfRule type="expression" dxfId="9" priority="1">
      <formula>R3&gt;R2</formula>
    </cfRule>
  </conditionalFormatting>
  <conditionalFormatting sqref="M41:M42">
    <cfRule type="expression" dxfId="8" priority="2">
      <formula>R41&gt;R39</formula>
    </cfRule>
  </conditionalFormatting>
  <conditionalFormatting sqref="N3:N40 P3:P40">
    <cfRule type="notContainsBlanks" dxfId="7" priority="3">
      <formula>LEN(TRIM(N3))&gt;0</formula>
    </cfRule>
  </conditionalFormatting>
  <conditionalFormatting sqref="R3:R42">
    <cfRule type="expression" dxfId="6" priority="4">
      <formula>R3&gt;R2</formula>
    </cfRule>
  </conditionalFormatting>
  <conditionalFormatting sqref="W3:Y14">
    <cfRule type="expression" dxfId="5" priority="5">
      <formula>W3&lt;&gt;W2</formula>
    </cfRule>
  </conditionalFormatting>
  <conditionalFormatting sqref="AA9:AA40">
    <cfRule type="expression" dxfId="4" priority="6">
      <formula>AB9&gt;AB8</formula>
    </cfRule>
  </conditionalFormatting>
  <conditionalFormatting sqref="AA45">
    <cfRule type="expression" dxfId="3" priority="7">
      <formula>AB45&gt;AB44</formula>
    </cfRule>
  </conditionalFormatting>
  <conditionalFormatting sqref="AB9:AD43">
    <cfRule type="expression" dxfId="2" priority="8">
      <formula>AB9&gt;AB8</formula>
    </cfRule>
  </conditionalFormatting>
  <conditionalFormatting sqref="AB45:AD46">
    <cfRule type="expression" dxfId="1" priority="9">
      <formula>AB45&gt;AB44</formula>
    </cfRule>
  </conditionalFormatting>
  <conditionalFormatting sqref="AF15:AH40">
    <cfRule type="expression" dxfId="0" priority="10">
      <formula>AF15&gt;AF14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DATA</vt:lpstr>
      <vt:lpstr>ANNEXURE I</vt:lpstr>
      <vt:lpstr>ANNEXURE II</vt:lpstr>
      <vt:lpstr>FORM16_FRONT</vt:lpstr>
      <vt:lpstr>FORM16_BACK</vt:lpstr>
      <vt:lpstr>RENT RECEIPT</vt:lpstr>
      <vt:lpstr>FORM_12BB</vt:lpstr>
      <vt:lpstr>KEY</vt:lpstr>
      <vt:lpstr>AAS</vt:lpstr>
      <vt:lpstr>AGE</vt:lpstr>
      <vt:lpstr>BEST</vt:lpstr>
      <vt:lpstr>BP_2020</vt:lpstr>
      <vt:lpstr>BP_2021</vt:lpstr>
      <vt:lpstr>BP_2022</vt:lpstr>
      <vt:lpstr>DA_HRA_Months</vt:lpstr>
      <vt:lpstr>DATES</vt:lpstr>
      <vt:lpstr>EL_MONTHS_01</vt:lpstr>
      <vt:lpstr>EL_MONTHS_02</vt:lpstr>
      <vt:lpstr>EL_MONTHS_03</vt:lpstr>
      <vt:lpstr>LOANS</vt:lpstr>
      <vt:lpstr>Months_18</vt:lpstr>
      <vt:lpstr>Months_19</vt:lpstr>
      <vt:lpstr>Months_20</vt:lpstr>
      <vt:lpstr>OTHER_SAVINGS_LIST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TAX 2024-2025</dc:title>
  <dc:subject/>
  <dc:creator>Ramanjaneyulu Perumal;99 63 53 53 04</dc:creator>
  <cp:keywords>FIN YEAR 2024-2025</cp:keywords>
  <dc:description/>
  <cp:lastModifiedBy>Hi</cp:lastModifiedBy>
  <cp:revision/>
  <cp:lastPrinted>2023-11-19T14:39:46Z</cp:lastPrinted>
  <dcterms:created xsi:type="dcterms:W3CDTF">2018-12-03T21:54:08Z</dcterms:created>
  <dcterms:modified xsi:type="dcterms:W3CDTF">2024-12-03T15:12:40Z</dcterms:modified>
  <cp:category>AP Govt. Employees</cp:category>
  <cp:contentStatus/>
</cp:coreProperties>
</file>