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firstSheet="1" activeTab="1"/>
  </bookViews>
  <sheets>
    <sheet name="Sheet1" sheetId="1" state="hidden" r:id="rId1"/>
    <sheet name="Data" sheetId="2" r:id="rId2"/>
    <sheet name="EL" sheetId="3" r:id="rId3"/>
    <sheet name="HPL" sheetId="4" r:id="rId4"/>
    <sheet name="47 Out" sheetId="5" r:id="rId5"/>
    <sheet name="words" sheetId="6" state="hidden" r:id="rId6"/>
    <sheet name="47 In" sheetId="7" r:id="rId7"/>
  </sheets>
  <externalReferences>
    <externalReference r:id="rId10"/>
  </externalReferences>
  <definedNames>
    <definedName name="_01.07.2008" localSheetId="5">#REF!</definedName>
    <definedName name="_01.07.2008">#REF!</definedName>
    <definedName name="_xlfn.BAHTTEXT" hidden="1">#NAME?</definedName>
  </definedNames>
  <calcPr fullCalcOnLoad="1"/>
</workbook>
</file>

<file path=xl/sharedStrings.xml><?xml version="1.0" encoding="utf-8"?>
<sst xmlns="http://schemas.openxmlformats.org/spreadsheetml/2006/main" count="425" uniqueCount="354">
  <si>
    <t>Sub:-</t>
  </si>
  <si>
    <t>Name of the Employee</t>
  </si>
  <si>
    <t>Sri</t>
  </si>
  <si>
    <t>Smt</t>
  </si>
  <si>
    <t>Designation</t>
  </si>
  <si>
    <t>Place of Working</t>
  </si>
  <si>
    <t>Ref:-</t>
  </si>
  <si>
    <t>ORDER</t>
  </si>
  <si>
    <t>Mandal</t>
  </si>
  <si>
    <t>Date of Retired</t>
  </si>
  <si>
    <t>Mandal Educational Officer</t>
  </si>
  <si>
    <t>FORMULA</t>
  </si>
  <si>
    <t>=</t>
  </si>
  <si>
    <t>X</t>
  </si>
  <si>
    <t>To</t>
  </si>
  <si>
    <t>Proc.No</t>
  </si>
  <si>
    <t>Date:</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</si>
  <si>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</si>
  <si>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</si>
  <si>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</si>
  <si>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</si>
  <si>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</si>
  <si>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</si>
  <si>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</si>
  <si>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</si>
  <si>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</si>
  <si>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</si>
  <si>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</si>
  <si>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</si>
  <si>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</si>
  <si>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</si>
  <si>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</si>
  <si>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</si>
  <si>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</si>
  <si>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</si>
  <si>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</si>
  <si>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</si>
  <si>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</si>
  <si>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</si>
  <si>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</si>
  <si>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</si>
  <si>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</si>
  <si>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</si>
  <si>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</si>
  <si>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</si>
  <si>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</si>
  <si>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</si>
  <si>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</si>
  <si>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</si>
  <si>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</si>
  <si>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</si>
  <si>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</si>
  <si>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</si>
  <si>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</si>
  <si>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</si>
  <si>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</si>
  <si>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</si>
  <si>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</si>
  <si>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</si>
  <si>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</si>
  <si>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</si>
  <si>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</si>
  <si>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</si>
  <si>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</si>
  <si>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</si>
  <si>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</si>
  <si>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</si>
  <si>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</si>
  <si>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</si>
  <si>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</si>
  <si>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</si>
  <si>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</si>
  <si>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</si>
  <si>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</si>
  <si>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</si>
  <si>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</si>
  <si>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</si>
  <si>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</si>
  <si>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</si>
  <si>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</si>
  <si>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</si>
  <si>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</si>
  <si>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</si>
  <si>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</si>
  <si>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</si>
  <si>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</si>
  <si>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C.S.S</t>
  </si>
  <si>
    <t>Total Govt. Deductions</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</si>
  <si>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</si>
  <si>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</si>
  <si>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</si>
  <si>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</si>
  <si>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</si>
  <si>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</si>
  <si>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</si>
  <si>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</si>
  <si>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</si>
  <si>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</si>
  <si>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</si>
  <si>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</si>
  <si>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</si>
  <si>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</si>
  <si>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</si>
  <si>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</si>
  <si>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</si>
  <si>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</si>
  <si>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BP</t>
  </si>
  <si>
    <t>DA</t>
  </si>
  <si>
    <t>HRA</t>
  </si>
  <si>
    <t>No of Days</t>
  </si>
  <si>
    <t>Total</t>
  </si>
  <si>
    <t>Grand Total</t>
  </si>
  <si>
    <t>Sl.No</t>
  </si>
  <si>
    <t>Name &amp; Designation</t>
  </si>
  <si>
    <t>Basic.Pay</t>
  </si>
  <si>
    <t xml:space="preserve">Earned Leave and Half Pay Leave Total </t>
  </si>
  <si>
    <t>The Claims made in this bill are not clamed earlier and now same has entered in concerned Pay Bill register to avoid double claim in the future</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</si>
  <si>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</si>
  <si>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</si>
  <si>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</si>
  <si>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</si>
  <si>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</si>
  <si>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</si>
  <si>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</si>
  <si>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</si>
  <si>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</si>
  <si>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</si>
  <si>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</si>
  <si>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</si>
  <si>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</si>
  <si>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</si>
  <si>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</si>
  <si>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</si>
  <si>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</si>
  <si>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</si>
  <si>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</si>
  <si>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</si>
  <si>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</si>
  <si>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</si>
  <si>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</si>
  <si>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</si>
  <si>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</si>
  <si>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</si>
  <si>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</si>
  <si>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</si>
  <si>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</si>
  <si>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</si>
  <si>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</si>
  <si>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</si>
  <si>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</si>
  <si>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</si>
  <si>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</si>
  <si>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</si>
  <si>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</si>
  <si>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</si>
  <si>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</si>
  <si>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</si>
  <si>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</si>
  <si>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</si>
  <si>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</si>
  <si>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</si>
  <si>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</si>
  <si>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</si>
  <si>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</si>
  <si>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</si>
  <si>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</si>
  <si>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</si>
  <si>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</si>
  <si>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</si>
  <si>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</si>
  <si>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</si>
  <si>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</si>
  <si>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</si>
  <si>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</si>
  <si>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</si>
  <si>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</si>
  <si>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</si>
  <si>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</si>
  <si>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</si>
  <si>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</si>
  <si>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</si>
  <si>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</si>
  <si>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</si>
  <si>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</si>
  <si>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</si>
  <si>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</si>
  <si>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</si>
  <si>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</si>
  <si>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</si>
  <si>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</si>
  <si>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</si>
  <si>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</si>
  <si>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</si>
  <si>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</si>
  <si>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</si>
  <si>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</si>
  <si>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</si>
  <si>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</si>
  <si>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</si>
  <si>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</si>
  <si>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</si>
  <si>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</si>
  <si>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</si>
  <si>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</si>
  <si>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</si>
  <si>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</si>
  <si>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</si>
  <si>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</si>
  <si>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</si>
  <si>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</si>
  <si>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</si>
  <si>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</si>
  <si>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</si>
  <si>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</si>
  <si>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</si>
  <si>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</si>
  <si>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Join in My free SMS Group</t>
  </si>
  <si>
    <t>This Sheet is Prepared By RAMESH KOORA, Karimnagar</t>
  </si>
  <si>
    <t>Send a Messege  As</t>
  </si>
  <si>
    <t>Further any problems Please Contact on 9948841000</t>
  </si>
  <si>
    <t>JOIN RAMKO</t>
  </si>
  <si>
    <t>visit always for latest events     www.rameshkoora.8m.com</t>
  </si>
  <si>
    <t>mail to   ramesh.koora@gmail.com</t>
  </si>
  <si>
    <t>Number</t>
  </si>
  <si>
    <t>Rupees in Words Conversion</t>
  </si>
  <si>
    <r>
      <t>and send it to</t>
    </r>
    <r>
      <rPr>
        <b/>
        <sz val="10"/>
        <rFont val="Arial"/>
        <family val="2"/>
      </rPr>
      <t xml:space="preserve">     </t>
    </r>
    <r>
      <rPr>
        <b/>
        <sz val="12"/>
        <color indexed="10"/>
        <rFont val="Arial"/>
        <family val="2"/>
      </rPr>
      <t>567678</t>
    </r>
  </si>
  <si>
    <t>Rmarks</t>
  </si>
  <si>
    <t>Seconday Grade Teacher</t>
  </si>
  <si>
    <t>School Assistant</t>
  </si>
  <si>
    <t>Language Pandtt Hinidi</t>
  </si>
  <si>
    <t>Language Pandtt urdu</t>
  </si>
  <si>
    <t>PG.HM.Gr-II</t>
  </si>
  <si>
    <t>Music Teacher</t>
  </si>
  <si>
    <t>Craft Teacher</t>
  </si>
  <si>
    <t>LFL HM</t>
  </si>
  <si>
    <t>Jan</t>
  </si>
  <si>
    <t>Feb</t>
  </si>
  <si>
    <t>Mar</t>
  </si>
  <si>
    <t>Apr</t>
  </si>
  <si>
    <t>May</t>
  </si>
  <si>
    <t>Jun</t>
  </si>
  <si>
    <t>July</t>
  </si>
  <si>
    <t>Aug</t>
  </si>
  <si>
    <t>Nov</t>
  </si>
  <si>
    <t>Dec</t>
  </si>
  <si>
    <t>Sep</t>
  </si>
  <si>
    <t>Oct</t>
  </si>
  <si>
    <t>Basic Pay</t>
  </si>
  <si>
    <t>Scale Of Pay</t>
  </si>
  <si>
    <t>------</t>
  </si>
  <si>
    <t>1) Budget Allotment for the Year 2011-12</t>
  </si>
  <si>
    <t xml:space="preserve">1) Encashment of EL and HPL Salary Proceedings of the </t>
  </si>
  <si>
    <t>2) Non Drawal Cerifcate</t>
  </si>
  <si>
    <t>3) Retirement Orders</t>
  </si>
  <si>
    <t>Cash Payment in lieu of Half Pay Leave component</t>
  </si>
  <si>
    <t>Signature Of the DDO</t>
  </si>
  <si>
    <t>Total No of EL's Balance</t>
  </si>
  <si>
    <t>Total No of HPL's Balance</t>
  </si>
  <si>
    <t>Prcoceedings Issued By</t>
  </si>
  <si>
    <t>Place of the Officer working</t>
  </si>
  <si>
    <t>DDO Designation</t>
  </si>
  <si>
    <t>Name of the Officer &amp; Desgn</t>
  </si>
  <si>
    <t>DDO Code</t>
  </si>
  <si>
    <t>STO Place</t>
  </si>
  <si>
    <t>MEO</t>
  </si>
  <si>
    <t>General Education</t>
  </si>
  <si>
    <t>Dy.Educational Officer</t>
  </si>
  <si>
    <t>Gazetted Head Mistress</t>
  </si>
  <si>
    <t>MP.PS</t>
  </si>
  <si>
    <t>MP.UPS</t>
  </si>
  <si>
    <t>ZPHS</t>
  </si>
  <si>
    <t>Govt.PS</t>
  </si>
  <si>
    <t>Govt.UPS</t>
  </si>
  <si>
    <t>Govt,HS</t>
  </si>
  <si>
    <t>Ele.Edn</t>
  </si>
  <si>
    <t>Sec.Edn</t>
  </si>
  <si>
    <t>Govt.Primary.Schools</t>
  </si>
  <si>
    <t>Govt.Secondary Schools</t>
  </si>
  <si>
    <t>Assistance to Local Bodies fro Primary Eucation</t>
  </si>
  <si>
    <t>Assistance to Local Bodies fro Secondary Eucation</t>
  </si>
  <si>
    <t>-</t>
  </si>
  <si>
    <t>Teaching Grants to MPP,s</t>
  </si>
  <si>
    <t>Teaching Grants to ZPP,s</t>
  </si>
  <si>
    <t>Stock File</t>
  </si>
  <si>
    <t>Prcoceeding No</t>
  </si>
  <si>
    <t>Proc.Date</t>
  </si>
  <si>
    <t>EL and HPL Encashment Programme</t>
  </si>
  <si>
    <t>www.prtumedak.org</t>
  </si>
  <si>
    <t>P                  R                   T                 U                  M                      E                    D                     A                        K</t>
  </si>
  <si>
    <t>Total Service in Years</t>
  </si>
  <si>
    <t>1.GO.MS.No 154 Fin (Plg-I) Dept,Dated 04-05-2010</t>
  </si>
  <si>
    <t>2.Application of the Individual.</t>
  </si>
  <si>
    <t>6700-20110</t>
  </si>
  <si>
    <t>6900-20680</t>
  </si>
  <si>
    <t>7100-21250</t>
  </si>
  <si>
    <t>7520-22430</t>
  </si>
  <si>
    <t>7740-23040</t>
  </si>
  <si>
    <t>7960-23650</t>
  </si>
  <si>
    <t>8440-24950</t>
  </si>
  <si>
    <t>9200-27000</t>
  </si>
  <si>
    <t>9460-27700</t>
  </si>
  <si>
    <t>10020-29200</t>
  </si>
  <si>
    <t>10900-31550</t>
  </si>
  <si>
    <t>11530-33200</t>
  </si>
  <si>
    <t>11860-34050</t>
  </si>
  <si>
    <t>12550-35800</t>
  </si>
  <si>
    <t>12910-35800</t>
  </si>
  <si>
    <t>13660-38750</t>
  </si>
  <si>
    <t>14860-39540</t>
  </si>
  <si>
    <t>15280-40510</t>
  </si>
  <si>
    <t>16150-42590</t>
  </si>
  <si>
    <t>18030-43630</t>
  </si>
  <si>
    <t>19050-45850</t>
  </si>
  <si>
    <t>20680-46960</t>
  </si>
  <si>
    <t>21820-48160</t>
  </si>
  <si>
    <t>23650-49360</t>
  </si>
  <si>
    <t>25600-50560</t>
  </si>
  <si>
    <t>27000-51760</t>
  </si>
  <si>
    <t>29200-53060</t>
  </si>
  <si>
    <t>31550-53060</t>
  </si>
  <si>
    <t>37600-54360</t>
  </si>
  <si>
    <t>41550-55660</t>
  </si>
  <si>
    <t>44740-55660</t>
  </si>
  <si>
    <t>1.GO.MS.No 208 Education,Dt 16-08-1975</t>
  </si>
  <si>
    <t>Gazetted Head Master</t>
  </si>
  <si>
    <r>
      <t xml:space="preserve">           </t>
    </r>
    <r>
      <rPr>
        <b/>
        <sz val="10"/>
        <rFont val="Book Antiqua"/>
        <family val="1"/>
      </rPr>
      <t xml:space="preserve"> R.Ramesh,Tekmal.9989663755</t>
    </r>
  </si>
  <si>
    <t xml:space="preserve">Earned Leave-Encashment of Earned Leave in respect of  </t>
  </si>
  <si>
    <t>Sanction Orders - Issued.</t>
  </si>
  <si>
    <t xml:space="preserve">                       The neccesary Entries  are made in the Original S.R of the Individual concerned under Proper attestaion.Action may be taken accordingly.</t>
  </si>
  <si>
    <t>Leave Rules-Recommendation of RPS-2010 Encashment  of Half Pay Leave in respect of</t>
  </si>
  <si>
    <t xml:space="preserve">HPL Salary admissible on the date of retirement + DA admissible on that date                ------------------------------------                                                           
                   30                                                                                  </t>
  </si>
  <si>
    <t xml:space="preserve">  R.Ramesh,Tekmal,9989663755</t>
  </si>
  <si>
    <t>No of days of HPL at credit subject to the total of EL and HPL at credit not exceeding 300 days</t>
  </si>
  <si>
    <t xml:space="preserve">Copy </t>
  </si>
  <si>
    <t>1.Individual concerned</t>
  </si>
  <si>
    <t>SR Entries</t>
  </si>
  <si>
    <r>
      <t xml:space="preserve">           </t>
    </r>
    <r>
      <rPr>
        <b/>
        <u val="single"/>
        <sz val="12"/>
        <rFont val="Times New Roman"/>
        <family val="1"/>
      </rPr>
      <t>Non-Drawal Certificat</t>
    </r>
    <r>
      <rPr>
        <sz val="12"/>
        <rFont val="Times New Roman"/>
        <family val="1"/>
      </rPr>
      <t>e</t>
    </r>
  </si>
  <si>
    <t>EL's Entry PG.No</t>
  </si>
  <si>
    <t>HPL Entry Pg.No</t>
  </si>
  <si>
    <t>015      I.R.</t>
  </si>
  <si>
    <t xml:space="preserve"> 018    Encashment of 
        HPL Salary</t>
  </si>
  <si>
    <t>Period in days</t>
  </si>
  <si>
    <t>TOTAL</t>
  </si>
  <si>
    <t>FP</t>
  </si>
  <si>
    <t>F.P</t>
  </si>
  <si>
    <t>PP</t>
  </si>
  <si>
    <t>A2/12/2011</t>
  </si>
  <si>
    <t>R.Ramesh</t>
  </si>
  <si>
    <t>Tekmal</t>
  </si>
  <si>
    <t>M.P.Tekmal</t>
  </si>
  <si>
    <t>P.Veersangappa,B.Sc,B.Ed</t>
  </si>
  <si>
    <t>Jogipet</t>
  </si>
  <si>
    <t>Prpgramme developed</t>
  </si>
  <si>
    <t>R.Ramesh,9989663755</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</si>
</sst>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
    <numFmt numFmtId="176" formatCode="_(* #,##0.0_);_(* \(#,##0.0\);_(* &quot;-&quot;??_);_(@_)"/>
    <numFmt numFmtId="177" formatCode="_(* #,##0_);_(* \(#,##0\);_(* &quot;-&quot;??_);_(@_)"/>
    <numFmt numFmtId="178" formatCode="[$-409]dddd\,\ mmmm\ dd\,\ yyyy"/>
    <numFmt numFmtId="179" formatCode="[$-409]d\-mmm\-yy;@"/>
    <numFmt numFmtId="180" formatCode="[$-409]d\-mmm\-yyyy;@"/>
    <numFmt numFmtId="181" formatCode="[$-409]mmmm\ d\,\ yyyy;@"/>
    <numFmt numFmtId="182" formatCode="[$-1010000]d/m/yyyy;@"/>
    <numFmt numFmtId="183" formatCode="[$-409]h:mm:ss\ AM/PM"/>
    <numFmt numFmtId="184" formatCode="dd/mm/yyyy;@"/>
    <numFmt numFmtId="185" formatCode="d\.m\.yy;@"/>
    <numFmt numFmtId="186" formatCode="[$-1010000]d/m/yy;@"/>
    <numFmt numFmtId="187" formatCode="[$-4010000]d/m/yy;@"/>
    <numFmt numFmtId="188" formatCode="&quot;$&quot;#,##0.00"/>
    <numFmt numFmtId="189" formatCode="#,##0.00;[Red]#,##0.00"/>
    <numFmt numFmtId="190" formatCode="_(* #,##0.000_);_(* \(#,##0.000\);_(* &quot;-&quot;??_);_(@_)"/>
    <numFmt numFmtId="191" formatCode="0_);\(0\)"/>
    <numFmt numFmtId="192" formatCode="0.0_);\(0.0\)"/>
    <numFmt numFmtId="193" formatCode="0.00_);\(0.00\)"/>
    <numFmt numFmtId="194" formatCode="[$-409]mmm/yy;@"/>
    <numFmt numFmtId="195" formatCode="0.0000"/>
    <numFmt numFmtId="196" formatCode="0.00000"/>
    <numFmt numFmtId="197" formatCode="0.000000"/>
  </numFmts>
  <fonts count="69">
    <font>
      <sz val="10"/>
      <name val="Arial"/>
      <family val="0"/>
    </font>
    <font>
      <sz val="8"/>
      <name val="Arial"/>
      <family val="0"/>
    </font>
    <font>
      <sz val="12"/>
      <name val="Arial"/>
      <family val="0"/>
    </font>
    <font>
      <b/>
      <sz val="12"/>
      <name val="Arial"/>
      <family val="2"/>
    </font>
    <font>
      <b/>
      <sz val="12"/>
      <name val="Calibri"/>
      <family val="2"/>
    </font>
    <font>
      <b/>
      <sz val="14"/>
      <name val="Calibri"/>
      <family val="2"/>
    </font>
    <font>
      <b/>
      <sz val="10"/>
      <name val="Arial"/>
      <family val="2"/>
    </font>
    <font>
      <sz val="14"/>
      <name val="Times New Roman"/>
      <family val="1"/>
    </font>
    <font>
      <b/>
      <sz val="12"/>
      <name val="Times New Roman"/>
      <family val="1"/>
    </font>
    <font>
      <b/>
      <sz val="16"/>
      <name val="Calibri"/>
      <family val="2"/>
    </font>
    <font>
      <b/>
      <u val="single"/>
      <sz val="14"/>
      <name val="Calibri"/>
      <family val="2"/>
    </font>
    <font>
      <sz val="16"/>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0"/>
    </font>
    <font>
      <i/>
      <sz val="11"/>
      <color indexed="23"/>
      <name val="Calibri"/>
      <family val="2"/>
    </font>
    <font>
      <u val="single"/>
      <sz val="10"/>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Bookman Old Style"/>
      <family val="1"/>
    </font>
    <font>
      <sz val="11"/>
      <name val="Bookman Old Style"/>
      <family val="1"/>
    </font>
    <font>
      <sz val="12"/>
      <name val="Bookman Old Style"/>
      <family val="1"/>
    </font>
    <font>
      <sz val="16"/>
      <name val="Bookman Old Style"/>
      <family val="1"/>
    </font>
    <font>
      <sz val="14"/>
      <name val="Bookman Old Style"/>
      <family val="1"/>
    </font>
    <font>
      <sz val="9"/>
      <name val="Bookman Old Style"/>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b/>
      <sz val="18"/>
      <name val="Times New Roman"/>
      <family val="1"/>
    </font>
    <font>
      <sz val="12"/>
      <name val="Times New Roman"/>
      <family val="1"/>
    </font>
    <font>
      <b/>
      <sz val="14"/>
      <name val="Times New Roman"/>
      <family val="1"/>
    </font>
    <font>
      <b/>
      <u val="single"/>
      <sz val="11"/>
      <color indexed="14"/>
      <name val="Arial"/>
      <family val="2"/>
    </font>
    <font>
      <b/>
      <sz val="12"/>
      <color indexed="12"/>
      <name val="Arial"/>
      <family val="2"/>
    </font>
    <font>
      <b/>
      <sz val="10"/>
      <color indexed="12"/>
      <name val="Arial"/>
      <family val="2"/>
    </font>
    <font>
      <b/>
      <sz val="12"/>
      <color indexed="10"/>
      <name val="Arial"/>
      <family val="2"/>
    </font>
    <font>
      <b/>
      <u val="single"/>
      <sz val="12"/>
      <name val="Times New Roman"/>
      <family val="1"/>
    </font>
    <font>
      <sz val="12"/>
      <color indexed="8"/>
      <name val="Calibri"/>
      <family val="2"/>
    </font>
    <font>
      <sz val="13"/>
      <color indexed="8"/>
      <name val="Calibri"/>
      <family val="2"/>
    </font>
    <font>
      <b/>
      <sz val="14"/>
      <name val="Arial"/>
      <family val="2"/>
    </font>
    <font>
      <b/>
      <sz val="10"/>
      <name val="Georgia"/>
      <family val="1"/>
    </font>
    <font>
      <b/>
      <sz val="14"/>
      <name val="Bookman Old Style"/>
      <family val="1"/>
    </font>
    <font>
      <sz val="14"/>
      <name val="Arial"/>
      <family val="0"/>
    </font>
    <font>
      <b/>
      <sz val="18"/>
      <color indexed="10"/>
      <name val="Arial"/>
      <family val="2"/>
    </font>
    <font>
      <b/>
      <u val="single"/>
      <sz val="18"/>
      <color indexed="10"/>
      <name val="Arial"/>
      <family val="2"/>
    </font>
    <font>
      <b/>
      <sz val="14"/>
      <name val="Book Antiqua"/>
      <family val="1"/>
    </font>
    <font>
      <b/>
      <sz val="12"/>
      <name val="Bookman Old Style"/>
      <family val="1"/>
    </font>
    <font>
      <b/>
      <sz val="10"/>
      <name val="Times New Roman"/>
      <family val="1"/>
    </font>
    <font>
      <b/>
      <sz val="10"/>
      <name val="Book Antiqua"/>
      <family val="1"/>
    </font>
    <font>
      <sz val="8"/>
      <name val="Tahoma"/>
      <family val="2"/>
    </font>
    <font>
      <sz val="10"/>
      <color indexed="14"/>
      <name val="Arial"/>
      <family val="0"/>
    </font>
    <font>
      <b/>
      <sz val="10"/>
      <color indexed="14"/>
      <name val="Arial"/>
      <family val="2"/>
    </font>
    <font>
      <b/>
      <sz val="14"/>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color indexed="10"/>
      </left>
      <right style="double">
        <color indexed="10"/>
      </right>
      <top style="double">
        <color indexed="10"/>
      </top>
      <bottom style="double">
        <color indexed="10"/>
      </bottom>
    </border>
    <border>
      <left>
        <color indexed="63"/>
      </left>
      <right>
        <color indexed="63"/>
      </right>
      <top style="double"/>
      <bottom>
        <color indexed="63"/>
      </bottom>
    </border>
    <border>
      <left>
        <color indexed="63"/>
      </left>
      <right style="thin"/>
      <top>
        <color indexed="63"/>
      </top>
      <bottom>
        <color indexed="63"/>
      </bottom>
    </border>
    <border>
      <left style="double">
        <color indexed="10"/>
      </left>
      <right>
        <color indexed="63"/>
      </right>
      <top style="double">
        <color indexed="10"/>
      </top>
      <bottom style="double">
        <color indexed="10"/>
      </bottom>
    </border>
    <border>
      <left>
        <color indexed="63"/>
      </left>
      <right style="double"/>
      <top>
        <color indexed="63"/>
      </top>
      <bottom>
        <color indexed="63"/>
      </bottom>
    </border>
    <border>
      <left>
        <color indexed="63"/>
      </left>
      <right style="thin"/>
      <top>
        <color indexed="63"/>
      </top>
      <bottom style="thin"/>
    </border>
    <border>
      <left style="double">
        <color indexed="10"/>
      </left>
      <right style="double">
        <color indexed="10"/>
      </right>
      <top>
        <color indexed="63"/>
      </top>
      <bottom>
        <color indexed="63"/>
      </bottom>
    </border>
    <border>
      <left>
        <color indexed="63"/>
      </left>
      <right style="double">
        <color indexed="10"/>
      </right>
      <top>
        <color indexed="63"/>
      </top>
      <bottom style="double">
        <color indexed="10"/>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double">
        <color indexed="10"/>
      </top>
      <bottom style="double">
        <color indexed="10"/>
      </bottom>
    </border>
    <border>
      <left style="double">
        <color indexed="10"/>
      </left>
      <right style="double">
        <color indexed="10"/>
      </right>
      <top>
        <color indexed="63"/>
      </top>
      <bottom style="double">
        <color indexed="10"/>
      </bottom>
    </border>
    <border>
      <left style="thin"/>
      <right style="hair"/>
      <top style="hair"/>
      <bottom style="hair"/>
    </border>
    <border>
      <left style="thin"/>
      <right style="hair"/>
      <top style="hair"/>
      <bottom style="thin"/>
    </border>
    <border>
      <left style="thin"/>
      <right style="hair"/>
      <top>
        <color indexed="63"/>
      </top>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
      <left>
        <color indexed="63"/>
      </left>
      <right>
        <color indexed="63"/>
      </right>
      <top>
        <color indexed="63"/>
      </top>
      <bottom style="double">
        <color indexed="10"/>
      </bottom>
    </border>
    <border>
      <left style="double">
        <color indexed="10"/>
      </left>
      <right style="double">
        <color indexed="10"/>
      </right>
      <top style="double">
        <color indexed="10"/>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67">
    <xf numFmtId="0" fontId="0" fillId="0" borderId="0" xfId="0" applyAlignment="1">
      <alignment/>
    </xf>
    <xf numFmtId="0" fontId="0" fillId="0" borderId="0" xfId="0" applyAlignment="1">
      <alignment/>
    </xf>
    <xf numFmtId="0" fontId="4" fillId="0" borderId="0" xfId="0" applyFont="1" applyAlignment="1">
      <alignment/>
    </xf>
    <xf numFmtId="0" fontId="7" fillId="0" borderId="0" xfId="0" applyFont="1" applyAlignment="1">
      <alignment horizontal="justify" vertical="top" wrapText="1"/>
    </xf>
    <xf numFmtId="0" fontId="7" fillId="0" borderId="0" xfId="0" applyFont="1" applyAlignment="1">
      <alignment/>
    </xf>
    <xf numFmtId="0" fontId="5" fillId="0" borderId="0" xfId="0" applyFont="1" applyAlignment="1">
      <alignment/>
    </xf>
    <xf numFmtId="0" fontId="6" fillId="0" borderId="0" xfId="0" applyFont="1" applyAlignment="1">
      <alignment/>
    </xf>
    <xf numFmtId="0" fontId="33" fillId="0" borderId="0" xfId="68" applyFont="1" applyAlignment="1">
      <alignment horizontal="center" vertical="center"/>
      <protection/>
    </xf>
    <xf numFmtId="0" fontId="33" fillId="0" borderId="0" xfId="68" applyFont="1">
      <alignment/>
      <protection/>
    </xf>
    <xf numFmtId="0" fontId="34" fillId="0" borderId="0" xfId="68" applyFont="1">
      <alignment/>
      <protection/>
    </xf>
    <xf numFmtId="188" fontId="33" fillId="0" borderId="0" xfId="68" applyNumberFormat="1" applyFont="1">
      <alignment/>
      <protection/>
    </xf>
    <xf numFmtId="0" fontId="33" fillId="0" borderId="10" xfId="68" applyFont="1" applyBorder="1" applyAlignment="1">
      <alignment vertical="center"/>
      <protection/>
    </xf>
    <xf numFmtId="0" fontId="33" fillId="0" borderId="11" xfId="68" applyFont="1" applyBorder="1" applyAlignment="1">
      <alignment vertical="center"/>
      <protection/>
    </xf>
    <xf numFmtId="49" fontId="33" fillId="0" borderId="11" xfId="68" applyNumberFormat="1" applyFont="1" applyBorder="1" applyAlignment="1">
      <alignment vertical="center"/>
      <protection/>
    </xf>
    <xf numFmtId="17" fontId="33" fillId="0" borderId="12" xfId="68" applyNumberFormat="1" applyFont="1" applyBorder="1" applyAlignment="1">
      <alignment vertical="center"/>
      <protection/>
    </xf>
    <xf numFmtId="1" fontId="33" fillId="0" borderId="13" xfId="68" applyNumberFormat="1" applyFont="1" applyBorder="1" applyAlignment="1">
      <alignment vertical="center"/>
      <protection/>
    </xf>
    <xf numFmtId="1" fontId="35" fillId="0" borderId="0" xfId="68" applyNumberFormat="1" applyFont="1" applyBorder="1" applyAlignment="1">
      <alignment vertical="center"/>
      <protection/>
    </xf>
    <xf numFmtId="0" fontId="33" fillId="0" borderId="14" xfId="68" applyFont="1" applyBorder="1" applyAlignment="1">
      <alignment horizontal="right" vertical="center"/>
      <protection/>
    </xf>
    <xf numFmtId="0" fontId="33" fillId="0" borderId="15" xfId="68" applyFont="1" applyBorder="1" applyAlignment="1">
      <alignment vertical="center"/>
      <protection/>
    </xf>
    <xf numFmtId="0" fontId="33" fillId="0" borderId="16" xfId="68" applyFont="1" applyBorder="1" applyAlignment="1">
      <alignment vertical="center"/>
      <protection/>
    </xf>
    <xf numFmtId="0" fontId="38" fillId="0" borderId="13" xfId="68" applyFont="1" applyBorder="1" applyAlignment="1">
      <alignment vertical="center"/>
      <protection/>
    </xf>
    <xf numFmtId="0" fontId="18" fillId="0" borderId="17" xfId="68" applyFont="1" applyBorder="1" applyAlignment="1">
      <alignment horizontal="center"/>
      <protection/>
    </xf>
    <xf numFmtId="0" fontId="38" fillId="0" borderId="18" xfId="68" applyFont="1" applyBorder="1" applyAlignment="1">
      <alignment horizontal="center"/>
      <protection/>
    </xf>
    <xf numFmtId="0" fontId="33" fillId="0" borderId="0" xfId="68" applyFont="1" applyBorder="1">
      <alignment/>
      <protection/>
    </xf>
    <xf numFmtId="0" fontId="33" fillId="0" borderId="19" xfId="68" applyFont="1" applyBorder="1" applyAlignment="1">
      <alignment horizontal="right" vertical="center"/>
      <protection/>
    </xf>
    <xf numFmtId="0" fontId="33" fillId="0" borderId="20" xfId="68" applyFont="1" applyBorder="1" applyAlignment="1">
      <alignment horizontal="right" vertical="center"/>
      <protection/>
    </xf>
    <xf numFmtId="0" fontId="33" fillId="0" borderId="21" xfId="68" applyFont="1" applyBorder="1" applyAlignment="1">
      <alignment horizontal="right" vertical="center"/>
      <protection/>
    </xf>
    <xf numFmtId="0" fontId="33" fillId="0" borderId="18" xfId="68" applyFont="1" applyBorder="1">
      <alignment/>
      <protection/>
    </xf>
    <xf numFmtId="0" fontId="33" fillId="0" borderId="0" xfId="68" applyFont="1" applyBorder="1" applyAlignment="1">
      <alignment vertical="center" shrinkToFit="1"/>
      <protection/>
    </xf>
    <xf numFmtId="0" fontId="33" fillId="0" borderId="0" xfId="68" applyFont="1" applyAlignment="1">
      <alignment horizontal="right" vertical="center"/>
      <protection/>
    </xf>
    <xf numFmtId="40" fontId="33" fillId="0" borderId="0" xfId="68" applyNumberFormat="1" applyFont="1" applyAlignment="1">
      <alignment vertical="center"/>
      <protection/>
    </xf>
    <xf numFmtId="49" fontId="33" fillId="0" borderId="0" xfId="68" applyNumberFormat="1" applyFont="1" applyAlignment="1">
      <alignment vertical="center"/>
      <protection/>
    </xf>
    <xf numFmtId="0" fontId="33" fillId="0" borderId="0" xfId="68" applyFont="1" applyAlignment="1">
      <alignment horizontal="left" vertical="center"/>
      <protection/>
    </xf>
    <xf numFmtId="0" fontId="33" fillId="0" borderId="0" xfId="68" applyFont="1" applyFill="1" applyBorder="1">
      <alignment/>
      <protection/>
    </xf>
    <xf numFmtId="0" fontId="33" fillId="0" borderId="22" xfId="68" applyFont="1" applyBorder="1">
      <alignment/>
      <protection/>
    </xf>
    <xf numFmtId="0" fontId="33" fillId="0" borderId="23" xfId="68" applyFont="1" applyBorder="1">
      <alignment/>
      <protection/>
    </xf>
    <xf numFmtId="0" fontId="35" fillId="0" borderId="0" xfId="68" applyFont="1">
      <alignment/>
      <protection/>
    </xf>
    <xf numFmtId="0" fontId="38" fillId="0" borderId="13" xfId="68" applyFont="1" applyBorder="1" applyAlignment="1">
      <alignment horizontal="center"/>
      <protection/>
    </xf>
    <xf numFmtId="0" fontId="18" fillId="0" borderId="18" xfId="68" applyFont="1" applyBorder="1">
      <alignment/>
      <protection/>
    </xf>
    <xf numFmtId="0" fontId="33" fillId="0" borderId="24" xfId="68" applyFont="1" applyBorder="1">
      <alignment/>
      <protection/>
    </xf>
    <xf numFmtId="2" fontId="33" fillId="0" borderId="18" xfId="68" applyNumberFormat="1" applyFont="1" applyBorder="1">
      <alignment/>
      <protection/>
    </xf>
    <xf numFmtId="0" fontId="33" fillId="0" borderId="11" xfId="68" applyFont="1" applyBorder="1">
      <alignment/>
      <protection/>
    </xf>
    <xf numFmtId="0" fontId="41" fillId="0" borderId="13" xfId="68" applyFont="1" applyBorder="1" applyAlignment="1">
      <alignment horizontal="center"/>
      <protection/>
    </xf>
    <xf numFmtId="0" fontId="42" fillId="0" borderId="0" xfId="68" applyFont="1">
      <alignment/>
      <protection/>
    </xf>
    <xf numFmtId="2" fontId="33" fillId="0" borderId="0" xfId="68" applyNumberFormat="1" applyFont="1" applyBorder="1">
      <alignment/>
      <protection/>
    </xf>
    <xf numFmtId="0" fontId="37" fillId="0" borderId="0" xfId="68" applyFont="1">
      <alignment/>
      <protection/>
    </xf>
    <xf numFmtId="2" fontId="33" fillId="0" borderId="11" xfId="68" applyNumberFormat="1" applyFont="1" applyBorder="1">
      <alignment/>
      <protection/>
    </xf>
    <xf numFmtId="0" fontId="38" fillId="0" borderId="13" xfId="68" applyFont="1" applyBorder="1" applyAlignment="1">
      <alignment horizontal="center" vertical="center"/>
      <protection/>
    </xf>
    <xf numFmtId="0" fontId="44" fillId="0" borderId="0" xfId="68" applyFont="1">
      <alignment/>
      <protection/>
    </xf>
    <xf numFmtId="0" fontId="38" fillId="0" borderId="0" xfId="68" applyFont="1">
      <alignment/>
      <protection/>
    </xf>
    <xf numFmtId="0" fontId="33" fillId="0" borderId="0" xfId="68" applyFont="1" applyAlignment="1">
      <alignment/>
      <protection/>
    </xf>
    <xf numFmtId="0" fontId="33" fillId="0" borderId="0" xfId="68" applyFont="1" applyBorder="1" applyAlignment="1">
      <alignment vertical="center" readingOrder="1"/>
      <protection/>
    </xf>
    <xf numFmtId="0" fontId="33" fillId="0" borderId="0" xfId="68" applyFont="1" applyAlignment="1">
      <alignment horizontal="left"/>
      <protection/>
    </xf>
    <xf numFmtId="0" fontId="42" fillId="0" borderId="0" xfId="68" applyFont="1" applyAlignment="1">
      <alignment vertical="top" wrapText="1"/>
      <protection/>
    </xf>
    <xf numFmtId="0" fontId="40" fillId="0" borderId="13" xfId="68" applyFont="1" applyBorder="1" applyAlignment="1">
      <alignment horizontal="center"/>
      <protection/>
    </xf>
    <xf numFmtId="0" fontId="44" fillId="0" borderId="0" xfId="68" applyFont="1" applyBorder="1">
      <alignment/>
      <protection/>
    </xf>
    <xf numFmtId="0" fontId="44" fillId="0" borderId="11" xfId="68" applyFont="1" applyBorder="1" applyAlignment="1">
      <alignment/>
      <protection/>
    </xf>
    <xf numFmtId="0" fontId="38" fillId="0" borderId="0" xfId="68" applyFont="1" applyBorder="1">
      <alignment/>
      <protection/>
    </xf>
    <xf numFmtId="0" fontId="38" fillId="0" borderId="10" xfId="68" applyFont="1" applyBorder="1" applyAlignment="1">
      <alignment horizontal="center"/>
      <protection/>
    </xf>
    <xf numFmtId="0" fontId="38" fillId="0" borderId="24" xfId="68" applyFont="1" applyBorder="1" applyAlignment="1">
      <alignment horizontal="center"/>
      <protection/>
    </xf>
    <xf numFmtId="0" fontId="33" fillId="0" borderId="0" xfId="68" applyFont="1" applyBorder="1" applyAlignment="1">
      <alignment horizontal="right" vertical="center"/>
      <protection/>
    </xf>
    <xf numFmtId="0" fontId="33" fillId="0" borderId="0" xfId="68" applyFont="1" applyAlignment="1">
      <alignment horizontal="centerContinuous" vertical="center"/>
      <protection/>
    </xf>
    <xf numFmtId="2" fontId="33" fillId="0" borderId="11" xfId="68" applyNumberFormat="1" applyFont="1" applyBorder="1" applyAlignment="1">
      <alignment/>
      <protection/>
    </xf>
    <xf numFmtId="0" fontId="33" fillId="0" borderId="0" xfId="68" applyFont="1" applyBorder="1" applyAlignment="1">
      <alignment horizontal="center" vertical="center"/>
      <protection/>
    </xf>
    <xf numFmtId="2" fontId="33" fillId="0" borderId="0" xfId="68" applyNumberFormat="1" applyFont="1">
      <alignment/>
      <protection/>
    </xf>
    <xf numFmtId="0" fontId="33" fillId="0" borderId="24" xfId="68" applyFont="1" applyBorder="1" applyAlignment="1">
      <alignment horizontal="center" vertical="center"/>
      <protection/>
    </xf>
    <xf numFmtId="0" fontId="38" fillId="0" borderId="0" xfId="68" applyFont="1" applyAlignment="1">
      <alignment/>
      <protection/>
    </xf>
    <xf numFmtId="0" fontId="33" fillId="0" borderId="25" xfId="68" applyFont="1" applyBorder="1">
      <alignment/>
      <protection/>
    </xf>
    <xf numFmtId="0" fontId="33" fillId="0" borderId="0" xfId="68" applyFont="1" applyBorder="1" applyAlignment="1">
      <alignment horizontal="center" vertical="center" wrapText="1"/>
      <protection/>
    </xf>
    <xf numFmtId="0" fontId="33" fillId="0" borderId="0" xfId="68" applyFont="1" applyAlignment="1">
      <alignment horizontal="center" vertical="center" wrapText="1"/>
      <protection/>
    </xf>
    <xf numFmtId="0" fontId="18" fillId="0" borderId="0" xfId="68" applyFont="1" applyFill="1" applyBorder="1">
      <alignment/>
      <protection/>
    </xf>
    <xf numFmtId="0" fontId="18" fillId="0" borderId="0" xfId="68" applyFont="1">
      <alignment/>
      <protection/>
    </xf>
    <xf numFmtId="0" fontId="33" fillId="0" borderId="0" xfId="68" applyFont="1" applyBorder="1" applyAlignment="1">
      <alignment horizontal="center" vertical="center" textRotation="90" wrapText="1"/>
      <protection/>
    </xf>
    <xf numFmtId="0" fontId="43" fillId="0" borderId="0" xfId="68" applyFont="1">
      <alignment/>
      <protection/>
    </xf>
    <xf numFmtId="0" fontId="40" fillId="0" borderId="0" xfId="68" applyFont="1" applyBorder="1" applyAlignment="1">
      <alignment horizontal="center"/>
      <protection/>
    </xf>
    <xf numFmtId="0" fontId="18" fillId="0" borderId="0" xfId="68" applyFont="1" applyAlignment="1">
      <alignment/>
      <protection/>
    </xf>
    <xf numFmtId="0" fontId="33" fillId="0" borderId="0" xfId="68" applyFont="1" applyBorder="1" applyAlignment="1">
      <alignment horizontal="center"/>
      <protection/>
    </xf>
    <xf numFmtId="0" fontId="18" fillId="0" borderId="0" xfId="68" applyFont="1" applyAlignment="1">
      <alignment horizontal="left" vertical="center" indent="4"/>
      <protection/>
    </xf>
    <xf numFmtId="0" fontId="18" fillId="0" borderId="0" xfId="68" applyFont="1" applyAlignment="1">
      <alignment vertical="center"/>
      <protection/>
    </xf>
    <xf numFmtId="0" fontId="0" fillId="0" borderId="0" xfId="0" applyAlignment="1">
      <alignment horizont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8" fillId="0" borderId="2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4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2" fontId="34" fillId="0" borderId="18" xfId="68" applyNumberFormat="1" applyFont="1" applyBorder="1" applyAlignment="1">
      <alignment horizontal="right" vertical="center"/>
      <protection/>
    </xf>
    <xf numFmtId="0" fontId="38" fillId="0" borderId="24" xfId="68" applyFont="1" applyBorder="1" applyAlignment="1">
      <alignment horizontal="right" vertical="center"/>
      <protection/>
    </xf>
    <xf numFmtId="0" fontId="38" fillId="0" borderId="0" xfId="68" applyFont="1" applyAlignment="1">
      <alignment horizontal="right" vertical="center"/>
      <protection/>
    </xf>
    <xf numFmtId="0" fontId="0" fillId="20" borderId="0" xfId="69" applyFill="1" applyAlignment="1" applyProtection="1">
      <alignment horizontal="center" vertical="center"/>
      <protection hidden="1"/>
    </xf>
    <xf numFmtId="0" fontId="0" fillId="20" borderId="0" xfId="69" applyFont="1" applyFill="1" applyBorder="1" applyAlignment="1" applyProtection="1">
      <alignment horizontal="center" vertical="center"/>
      <protection hidden="1"/>
    </xf>
    <xf numFmtId="0" fontId="49" fillId="20" borderId="0" xfId="69" applyFont="1" applyFill="1" applyAlignment="1" applyProtection="1">
      <alignment horizontal="left" vertical="center"/>
      <protection hidden="1"/>
    </xf>
    <xf numFmtId="0" fontId="0" fillId="20" borderId="0" xfId="69" applyFill="1" applyBorder="1" applyAlignment="1" applyProtection="1">
      <alignment horizontal="center" vertical="center"/>
      <protection hidden="1"/>
    </xf>
    <xf numFmtId="0" fontId="3" fillId="20" borderId="27" xfId="69" applyFont="1" applyFill="1" applyBorder="1" applyAlignment="1" applyProtection="1">
      <alignment horizontal="center" vertical="center"/>
      <protection hidden="1"/>
    </xf>
    <xf numFmtId="2" fontId="3" fillId="24" borderId="27" xfId="69" applyNumberFormat="1" applyFont="1" applyFill="1" applyBorder="1" applyAlignment="1" applyProtection="1">
      <alignment horizontal="center" vertical="center"/>
      <protection/>
    </xf>
    <xf numFmtId="0" fontId="3" fillId="22" borderId="27" xfId="69" applyFont="1" applyFill="1" applyBorder="1" applyAlignment="1" applyProtection="1">
      <alignment horizontal="left" vertical="center"/>
      <protection/>
    </xf>
    <xf numFmtId="0" fontId="0" fillId="20" borderId="24" xfId="69" applyFill="1" applyBorder="1" applyAlignment="1" applyProtection="1">
      <alignment horizontal="center" vertical="center"/>
      <protection hidden="1"/>
    </xf>
    <xf numFmtId="0" fontId="3" fillId="20" borderId="0" xfId="69" applyFont="1" applyFill="1" applyBorder="1" applyAlignment="1" applyProtection="1">
      <alignment horizontal="left" vertical="center"/>
      <protection hidden="1"/>
    </xf>
    <xf numFmtId="0" fontId="3" fillId="24" borderId="27" xfId="69" applyFont="1" applyFill="1" applyBorder="1" applyAlignment="1" applyProtection="1">
      <alignment horizontal="center" vertical="center"/>
      <protection/>
    </xf>
    <xf numFmtId="0" fontId="0" fillId="25" borderId="28" xfId="0" applyFill="1" applyBorder="1" applyAlignment="1">
      <alignment/>
    </xf>
    <xf numFmtId="0" fontId="0" fillId="0" borderId="0" xfId="0" applyBorder="1" applyAlignment="1">
      <alignment/>
    </xf>
    <xf numFmtId="0" fontId="0" fillId="0" borderId="0" xfId="0" applyBorder="1" applyAlignment="1">
      <alignment/>
    </xf>
    <xf numFmtId="0" fontId="7" fillId="0" borderId="0" xfId="0" applyFont="1" applyAlignment="1">
      <alignment vertical="top" wrapText="1"/>
    </xf>
    <xf numFmtId="0" fontId="7" fillId="0" borderId="0" xfId="0" applyFont="1" applyAlignment="1">
      <alignment/>
    </xf>
    <xf numFmtId="0" fontId="46" fillId="0" borderId="29" xfId="0" applyFont="1" applyBorder="1" applyAlignment="1">
      <alignment horizontal="center" vertical="center" wrapText="1"/>
    </xf>
    <xf numFmtId="0" fontId="3" fillId="4" borderId="27" xfId="0" applyFont="1" applyFill="1" applyBorder="1" applyAlignment="1">
      <alignment horizontal="left" vertical="center" wrapText="1"/>
    </xf>
    <xf numFmtId="0" fontId="3" fillId="4" borderId="27" xfId="0" applyFont="1" applyFill="1" applyBorder="1" applyAlignment="1">
      <alignment/>
    </xf>
    <xf numFmtId="0" fontId="3" fillId="4" borderId="27" xfId="0" applyFont="1" applyFill="1" applyBorder="1" applyAlignment="1">
      <alignment vertical="center"/>
    </xf>
    <xf numFmtId="0" fontId="0" fillId="4" borderId="30" xfId="0" applyFill="1" applyBorder="1" applyAlignment="1">
      <alignment/>
    </xf>
    <xf numFmtId="0" fontId="11" fillId="0" borderId="0" xfId="0" applyFont="1" applyAlignment="1">
      <alignment horizontal="center" vertical="center" wrapText="1"/>
    </xf>
    <xf numFmtId="0" fontId="6" fillId="0" borderId="0" xfId="0" applyFont="1" applyAlignment="1">
      <alignment/>
    </xf>
    <xf numFmtId="0" fontId="0" fillId="7" borderId="0" xfId="0" applyFill="1" applyBorder="1" applyAlignment="1">
      <alignment/>
    </xf>
    <xf numFmtId="0" fontId="0" fillId="7" borderId="31" xfId="0" applyFill="1" applyBorder="1" applyAlignment="1">
      <alignment/>
    </xf>
    <xf numFmtId="0" fontId="0" fillId="7" borderId="0" xfId="0" applyFill="1" applyBorder="1" applyAlignment="1">
      <alignment/>
    </xf>
    <xf numFmtId="0" fontId="8" fillId="0" borderId="0" xfId="0" applyFont="1" applyBorder="1" applyAlignment="1">
      <alignment/>
    </xf>
    <xf numFmtId="0" fontId="0" fillId="0" borderId="20" xfId="0" applyBorder="1" applyAlignment="1">
      <alignment horizontal="center" vertical="center" wrapText="1"/>
    </xf>
    <xf numFmtId="0" fontId="8" fillId="0" borderId="0" xfId="0" applyFont="1" applyAlignment="1">
      <alignment horizontal="justify" vertical="top" wrapText="1"/>
    </xf>
    <xf numFmtId="0" fontId="6" fillId="0" borderId="0" xfId="0" applyFont="1" applyAlignment="1">
      <alignment horizontal="center" vertical="center"/>
    </xf>
    <xf numFmtId="0" fontId="45" fillId="0" borderId="0" xfId="0" applyFont="1" applyAlignment="1">
      <alignment horizontal="center" vertical="top" wrapText="1"/>
    </xf>
    <xf numFmtId="0" fontId="8" fillId="0" borderId="0" xfId="0" applyFont="1" applyAlignment="1">
      <alignment horizontal="left" vertical="center" wrapText="1"/>
    </xf>
    <xf numFmtId="0" fontId="0" fillId="7" borderId="0" xfId="0" applyFill="1" applyAlignment="1">
      <alignment/>
    </xf>
    <xf numFmtId="0" fontId="0" fillId="7" borderId="0" xfId="0" applyFill="1" applyAlignment="1">
      <alignment horizontal="left"/>
    </xf>
    <xf numFmtId="0" fontId="47" fillId="7" borderId="0" xfId="0" applyFont="1" applyFill="1" applyAlignment="1">
      <alignment horizontal="left"/>
    </xf>
    <xf numFmtId="0" fontId="61" fillId="7" borderId="0" xfId="0" applyFont="1" applyFill="1" applyAlignment="1">
      <alignment/>
    </xf>
    <xf numFmtId="0" fontId="2" fillId="0" borderId="27" xfId="0" applyFont="1" applyBorder="1" applyAlignment="1" applyProtection="1">
      <alignment vertical="center"/>
      <protection locked="0"/>
    </xf>
    <xf numFmtId="0" fontId="46" fillId="0" borderId="32" xfId="0" applyFont="1" applyBorder="1" applyAlignment="1">
      <alignment horizontal="center" vertical="center" wrapText="1"/>
    </xf>
    <xf numFmtId="0" fontId="8" fillId="0" borderId="0" xfId="0" applyFont="1" applyAlignment="1">
      <alignment horizontal="justify" vertical="center" wrapText="1"/>
    </xf>
    <xf numFmtId="0" fontId="4" fillId="7" borderId="27" xfId="0" applyFont="1" applyFill="1" applyBorder="1" applyAlignment="1">
      <alignment vertical="top" wrapText="1"/>
    </xf>
    <xf numFmtId="0" fontId="3" fillId="4" borderId="33" xfId="0" applyFont="1" applyFill="1" applyBorder="1" applyAlignment="1">
      <alignment vertical="center"/>
    </xf>
    <xf numFmtId="0" fontId="3" fillId="7" borderId="0" xfId="0" applyFont="1" applyFill="1" applyBorder="1" applyAlignment="1">
      <alignment vertical="top" wrapText="1"/>
    </xf>
    <xf numFmtId="0" fontId="55" fillId="0" borderId="27" xfId="0" applyFont="1" applyBorder="1" applyAlignment="1" applyProtection="1">
      <alignment horizontal="center"/>
      <protection locked="0"/>
    </xf>
    <xf numFmtId="0" fontId="0" fillId="7" borderId="34" xfId="0" applyFill="1" applyBorder="1" applyAlignment="1">
      <alignment vertical="center"/>
    </xf>
    <xf numFmtId="0" fontId="55" fillId="0" borderId="27" xfId="0" applyFont="1" applyFill="1" applyBorder="1" applyAlignment="1" applyProtection="1">
      <alignment horizontal="center" vertical="center"/>
      <protection locked="0"/>
    </xf>
    <xf numFmtId="174" fontId="3" fillId="0" borderId="30" xfId="0" applyNumberFormat="1" applyFont="1" applyBorder="1" applyAlignment="1" applyProtection="1">
      <alignment horizontal="center" vertical="center"/>
      <protection locked="0"/>
    </xf>
    <xf numFmtId="0" fontId="6" fillId="0" borderId="0" xfId="0" applyFont="1" applyAlignment="1">
      <alignment/>
    </xf>
    <xf numFmtId="0" fontId="63" fillId="0" borderId="0" xfId="0" applyFont="1" applyAlignment="1">
      <alignment/>
    </xf>
    <xf numFmtId="0" fontId="0" fillId="0" borderId="15" xfId="0" applyBorder="1" applyAlignment="1">
      <alignment/>
    </xf>
    <xf numFmtId="0" fontId="3" fillId="0" borderId="27" xfId="0" applyFont="1" applyBorder="1" applyAlignment="1" applyProtection="1">
      <alignment horizontal="center" vertical="center"/>
      <protection locked="0"/>
    </xf>
    <xf numFmtId="0" fontId="6" fillId="4" borderId="27" xfId="0" applyFont="1" applyFill="1" applyBorder="1" applyAlignment="1" applyProtection="1">
      <alignment horizontal="left" vertical="center"/>
      <protection/>
    </xf>
    <xf numFmtId="1" fontId="33" fillId="0" borderId="10" xfId="68" applyNumberFormat="1" applyFont="1" applyBorder="1" applyAlignment="1">
      <alignment horizontal="center" vertical="center"/>
      <protection/>
    </xf>
    <xf numFmtId="0" fontId="9" fillId="0" borderId="0" xfId="0" applyFont="1" applyBorder="1" applyAlignment="1">
      <alignment horizontal="center" vertical="center"/>
    </xf>
    <xf numFmtId="0" fontId="0" fillId="0" borderId="16" xfId="0"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9" fillId="0" borderId="0" xfId="0" applyFont="1" applyBorder="1" applyAlignment="1">
      <alignment vertical="center"/>
    </xf>
    <xf numFmtId="0" fontId="47" fillId="0" borderId="0" xfId="0" applyFont="1" applyBorder="1" applyAlignment="1">
      <alignment vertical="center" wrapText="1"/>
    </xf>
    <xf numFmtId="0" fontId="4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41" fillId="0" borderId="0" xfId="0" applyFont="1" applyBorder="1" applyAlignment="1">
      <alignment horizontal="justify" vertical="top" wrapText="1"/>
    </xf>
    <xf numFmtId="0" fontId="41" fillId="0" borderId="38" xfId="0" applyFont="1" applyBorder="1" applyAlignment="1">
      <alignment horizontal="justify" vertical="top" wrapText="1"/>
    </xf>
    <xf numFmtId="0" fontId="0" fillId="7" borderId="30" xfId="0" applyFill="1" applyBorder="1" applyAlignment="1">
      <alignment/>
    </xf>
    <xf numFmtId="0" fontId="0" fillId="7" borderId="39" xfId="0" applyFill="1" applyBorder="1" applyAlignment="1">
      <alignment/>
    </xf>
    <xf numFmtId="0" fontId="3" fillId="7" borderId="27" xfId="0" applyFont="1" applyFill="1" applyBorder="1" applyAlignment="1">
      <alignment horizontal="center" vertical="center"/>
    </xf>
    <xf numFmtId="0" fontId="3" fillId="7" borderId="27" xfId="0" applyFont="1" applyFill="1" applyBorder="1" applyAlignment="1" applyProtection="1">
      <alignment horizontal="center" vertical="center"/>
      <protection locked="0"/>
    </xf>
    <xf numFmtId="0" fontId="68" fillId="0" borderId="27"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0" fontId="63" fillId="4" borderId="27" xfId="0" applyFont="1" applyFill="1" applyBorder="1" applyAlignment="1">
      <alignment horizontal="left" vertical="center" wrapText="1"/>
    </xf>
    <xf numFmtId="14" fontId="6" fillId="0" borderId="0" xfId="0" applyNumberFormat="1" applyFont="1" applyAlignment="1">
      <alignment/>
    </xf>
    <xf numFmtId="0" fontId="0" fillId="20" borderId="0" xfId="0" applyFill="1" applyAlignment="1">
      <alignment/>
    </xf>
    <xf numFmtId="0" fontId="66" fillId="20" borderId="0" xfId="0" applyFont="1" applyFill="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6"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3" xfId="0" applyBorder="1" applyAlignment="1" applyProtection="1">
      <alignment/>
      <protection locked="0"/>
    </xf>
    <xf numFmtId="0" fontId="53" fillId="0" borderId="41" xfId="0" applyFont="1" applyBorder="1" applyAlignment="1" applyProtection="1">
      <alignment horizontal="center" vertical="center"/>
      <protection locked="0"/>
    </xf>
    <xf numFmtId="0" fontId="53" fillId="0" borderId="42" xfId="0" applyFont="1" applyBorder="1" applyAlignment="1" applyProtection="1">
      <alignment horizontal="center" vertical="center"/>
      <protection locked="0"/>
    </xf>
    <xf numFmtId="0" fontId="54" fillId="0" borderId="41" xfId="0" applyFont="1" applyBorder="1" applyAlignment="1" applyProtection="1">
      <alignment horizontal="center" vertical="center"/>
      <protection locked="0"/>
    </xf>
    <xf numFmtId="0" fontId="54" fillId="0" borderId="43" xfId="0" applyFont="1" applyFill="1" applyBorder="1" applyAlignment="1" applyProtection="1">
      <alignment horizontal="center" vertical="center"/>
      <protection locked="0"/>
    </xf>
    <xf numFmtId="0" fontId="6" fillId="0" borderId="0" xfId="0" applyFont="1" applyBorder="1" applyAlignment="1" applyProtection="1">
      <alignment horizontal="center"/>
      <protection locked="0"/>
    </xf>
    <xf numFmtId="189" fontId="0" fillId="0" borderId="0" xfId="0" applyNumberFormat="1" applyAlignment="1" applyProtection="1">
      <alignment/>
      <protection locked="0"/>
    </xf>
    <xf numFmtId="0" fontId="54" fillId="0" borderId="42" xfId="0" applyFont="1" applyBorder="1" applyAlignment="1" applyProtection="1">
      <alignment horizontal="center" vertical="center"/>
      <protection locked="0"/>
    </xf>
    <xf numFmtId="0" fontId="6" fillId="0" borderId="0" xfId="0" applyFont="1" applyAlignment="1">
      <alignment horizontal="center" vertical="center" wrapText="1"/>
    </xf>
    <xf numFmtId="0" fontId="59" fillId="25" borderId="44" xfId="0" applyFont="1" applyFill="1" applyBorder="1" applyAlignment="1">
      <alignment horizontal="center"/>
    </xf>
    <xf numFmtId="0" fontId="59" fillId="25" borderId="45" xfId="0" applyFont="1" applyFill="1" applyBorder="1" applyAlignment="1">
      <alignment horizontal="center"/>
    </xf>
    <xf numFmtId="0" fontId="59" fillId="25" borderId="46" xfId="0" applyFont="1" applyFill="1" applyBorder="1" applyAlignment="1">
      <alignment horizontal="center"/>
    </xf>
    <xf numFmtId="14" fontId="2" fillId="0" borderId="30" xfId="0" applyNumberFormat="1" applyFont="1" applyBorder="1" applyAlignment="1" applyProtection="1">
      <alignment horizontal="center" vertical="center"/>
      <protection locked="0"/>
    </xf>
    <xf numFmtId="0" fontId="0" fillId="0" borderId="0" xfId="0" applyAlignment="1" applyProtection="1">
      <alignment horizontal="center" vertical="top" wrapText="1"/>
      <protection locked="0"/>
    </xf>
    <xf numFmtId="0" fontId="0" fillId="0" borderId="0" xfId="0" applyAlignment="1" applyProtection="1">
      <alignment horizontal="center" wrapText="1"/>
      <protection locked="0"/>
    </xf>
    <xf numFmtId="0" fontId="0" fillId="0" borderId="0" xfId="0" applyBorder="1" applyAlignment="1" applyProtection="1">
      <alignment horizontal="center"/>
      <protection locked="0"/>
    </xf>
    <xf numFmtId="0" fontId="3" fillId="0" borderId="3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60" fillId="25" borderId="46" xfId="53" applyFont="1" applyFill="1" applyBorder="1" applyAlignment="1" applyProtection="1">
      <alignment horizontal="center"/>
      <protection/>
    </xf>
    <xf numFmtId="0" fontId="2" fillId="0" borderId="47" xfId="0" applyFont="1" applyBorder="1" applyAlignment="1" applyProtection="1">
      <alignment horizontal="left" vertical="center" wrapText="1"/>
      <protection locked="0"/>
    </xf>
    <xf numFmtId="0" fontId="2" fillId="0" borderId="3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0" fillId="0" borderId="0" xfId="0" applyAlignment="1" applyProtection="1">
      <alignment horizontal="justify" vertical="top" wrapText="1"/>
      <protection locked="0"/>
    </xf>
    <xf numFmtId="0" fontId="0" fillId="0" borderId="0" xfId="0" applyAlignment="1" applyProtection="1">
      <alignment horizontal="left"/>
      <protection locked="0"/>
    </xf>
    <xf numFmtId="0" fontId="0" fillId="0" borderId="48" xfId="0" applyBorder="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pplyProtection="1">
      <alignment horizontal="center" vertical="top" wrapText="1"/>
      <protection locked="0"/>
    </xf>
    <xf numFmtId="0" fontId="2" fillId="0" borderId="30"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protection locked="0"/>
    </xf>
    <xf numFmtId="0" fontId="3" fillId="0" borderId="30"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67" fillId="7" borderId="50" xfId="0" applyFont="1" applyFill="1" applyBorder="1" applyAlignment="1">
      <alignment horizontal="center" vertical="center" wrapText="1"/>
    </xf>
    <xf numFmtId="0" fontId="67" fillId="7" borderId="33" xfId="0" applyFont="1" applyFill="1" applyBorder="1" applyAlignment="1">
      <alignment horizontal="center" vertical="center" wrapText="1"/>
    </xf>
    <xf numFmtId="0" fontId="67" fillId="7" borderId="40"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justify" vertical="top" wrapText="1"/>
    </xf>
    <xf numFmtId="0" fontId="7" fillId="0" borderId="0" xfId="0" applyFont="1" applyAlignment="1">
      <alignment horizontal="left"/>
    </xf>
    <xf numFmtId="0" fontId="58" fillId="0" borderId="0" xfId="0" applyFont="1" applyAlignment="1">
      <alignment horizontal="left"/>
    </xf>
    <xf numFmtId="0" fontId="8" fillId="0" borderId="0" xfId="0" applyFont="1" applyAlignment="1">
      <alignment horizontal="center" wrapText="1"/>
    </xf>
    <xf numFmtId="0" fontId="8" fillId="0" borderId="0" xfId="0" applyFont="1" applyAlignment="1">
      <alignment horizontal="center" vertical="center"/>
    </xf>
    <xf numFmtId="0" fontId="0" fillId="0" borderId="0" xfId="0" applyAlignment="1">
      <alignment horizontal="center"/>
    </xf>
    <xf numFmtId="0" fontId="45" fillId="0" borderId="0" xfId="0" applyFont="1" applyAlignment="1">
      <alignment horizontal="center" vertical="top" wrapText="1"/>
    </xf>
    <xf numFmtId="0" fontId="10" fillId="0" borderId="0" xfId="0" applyFont="1" applyAlignment="1">
      <alignment horizontal="left"/>
    </xf>
    <xf numFmtId="0" fontId="6" fillId="0" borderId="0" xfId="0" applyFont="1" applyAlignment="1">
      <alignment horizontal="left"/>
    </xf>
    <xf numFmtId="0" fontId="11" fillId="0" borderId="0" xfId="0" applyFont="1" applyAlignment="1">
      <alignment horizontal="center" vertical="center" wrapText="1"/>
    </xf>
    <xf numFmtId="14" fontId="6" fillId="0" borderId="0" xfId="0" applyNumberFormat="1" applyFont="1" applyAlignment="1">
      <alignment horizontal="left"/>
    </xf>
    <xf numFmtId="0" fontId="6" fillId="0" borderId="0" xfId="0" applyNumberFormat="1" applyFont="1" applyAlignment="1">
      <alignment horizontal="left"/>
    </xf>
    <xf numFmtId="0" fontId="47" fillId="0" borderId="0" xfId="0" applyFont="1" applyAlignment="1">
      <alignment horizontal="left" wrapText="1"/>
    </xf>
    <xf numFmtId="0" fontId="12" fillId="0" borderId="0" xfId="0" applyFont="1" applyAlignment="1">
      <alignment horizont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Border="1" applyAlignment="1">
      <alignment horizontal="justify" vertical="top" wrapText="1"/>
    </xf>
    <xf numFmtId="0" fontId="8" fillId="0" borderId="20" xfId="0" applyFont="1" applyBorder="1" applyAlignment="1">
      <alignment horizontal="justify" vertical="top" wrapText="1"/>
    </xf>
    <xf numFmtId="0" fontId="35" fillId="0" borderId="0" xfId="68" applyFont="1" applyAlignment="1">
      <alignment horizontal="left" vertical="center"/>
      <protection/>
    </xf>
    <xf numFmtId="0" fontId="33" fillId="0" borderId="22" xfId="68" applyFont="1" applyBorder="1" applyAlignment="1">
      <alignment horizontal="center" vertical="center"/>
      <protection/>
    </xf>
    <xf numFmtId="0" fontId="33" fillId="0" borderId="23" xfId="68" applyFont="1" applyBorder="1" applyAlignment="1">
      <alignment horizontal="center" vertical="center"/>
      <protection/>
    </xf>
    <xf numFmtId="0" fontId="33" fillId="0" borderId="25" xfId="68" applyFont="1" applyBorder="1" applyAlignment="1">
      <alignment horizontal="center" vertical="center"/>
      <protection/>
    </xf>
    <xf numFmtId="0" fontId="33" fillId="0" borderId="18" xfId="68" applyFont="1" applyBorder="1" applyAlignment="1">
      <alignment horizontal="center" vertical="center"/>
      <protection/>
    </xf>
    <xf numFmtId="0" fontId="33" fillId="0" borderId="0" xfId="68" applyFont="1" applyAlignment="1">
      <alignment/>
      <protection/>
    </xf>
    <xf numFmtId="1" fontId="35" fillId="0" borderId="22" xfId="68" applyNumberFormat="1" applyFont="1" applyBorder="1" applyAlignment="1">
      <alignment horizontal="center" vertical="center"/>
      <protection/>
    </xf>
    <xf numFmtId="1" fontId="35" fillId="0" borderId="23" xfId="68" applyNumberFormat="1" applyFont="1" applyBorder="1" applyAlignment="1">
      <alignment horizontal="center" vertical="center"/>
      <protection/>
    </xf>
    <xf numFmtId="1" fontId="35" fillId="0" borderId="26" xfId="68" applyNumberFormat="1" applyFont="1" applyBorder="1" applyAlignment="1">
      <alignment horizontal="center" vertical="center"/>
      <protection/>
    </xf>
    <xf numFmtId="1" fontId="35" fillId="0" borderId="25" xfId="68" applyNumberFormat="1" applyFont="1" applyBorder="1" applyAlignment="1">
      <alignment horizontal="center" vertical="center"/>
      <protection/>
    </xf>
    <xf numFmtId="1" fontId="35" fillId="0" borderId="18" xfId="68" applyNumberFormat="1" applyFont="1" applyBorder="1" applyAlignment="1">
      <alignment horizontal="center" vertical="center"/>
      <protection/>
    </xf>
    <xf numFmtId="1" fontId="35" fillId="0" borderId="32" xfId="68" applyNumberFormat="1" applyFont="1" applyBorder="1" applyAlignment="1">
      <alignment horizontal="center" vertical="center"/>
      <protection/>
    </xf>
    <xf numFmtId="0" fontId="39" fillId="0" borderId="0" xfId="68" applyFont="1" applyAlignment="1">
      <alignment horizontal="center" vertical="center"/>
      <protection/>
    </xf>
    <xf numFmtId="0" fontId="35" fillId="0" borderId="22" xfId="68" applyFont="1" applyBorder="1" applyAlignment="1">
      <alignment horizontal="center" vertical="center"/>
      <protection/>
    </xf>
    <xf numFmtId="0" fontId="35" fillId="0" borderId="23" xfId="68" applyFont="1" applyBorder="1" applyAlignment="1">
      <alignment horizontal="center" vertical="center"/>
      <protection/>
    </xf>
    <xf numFmtId="0" fontId="35" fillId="0" borderId="26" xfId="68" applyFont="1" applyBorder="1" applyAlignment="1">
      <alignment horizontal="center" vertical="center"/>
      <protection/>
    </xf>
    <xf numFmtId="0" fontId="33" fillId="0" borderId="0" xfId="68" applyFont="1" applyAlignment="1">
      <alignment horizontal="center"/>
      <protection/>
    </xf>
    <xf numFmtId="40" fontId="35" fillId="0" borderId="0" xfId="68" applyNumberFormat="1" applyFont="1" applyAlignment="1">
      <alignment horizontal="left"/>
      <protection/>
    </xf>
    <xf numFmtId="0" fontId="36" fillId="0" borderId="0" xfId="68" applyFont="1" applyAlignment="1">
      <alignment horizontal="center" vertical="center"/>
      <protection/>
    </xf>
    <xf numFmtId="0" fontId="56" fillId="0" borderId="0" xfId="68" applyFont="1" applyAlignment="1" applyProtection="1">
      <alignment horizontal="center" vertical="center" wrapText="1" shrinkToFit="1"/>
      <protection locked="0"/>
    </xf>
    <xf numFmtId="0" fontId="35" fillId="0" borderId="0" xfId="68" applyFont="1" applyAlignment="1">
      <alignment horizontal="left"/>
      <protection/>
    </xf>
    <xf numFmtId="0" fontId="37" fillId="0" borderId="0" xfId="68" applyFont="1" applyAlignment="1">
      <alignment horizontal="center" vertical="center"/>
      <protection/>
    </xf>
    <xf numFmtId="1" fontId="0" fillId="0" borderId="10" xfId="68" applyNumberFormat="1" applyFont="1" applyBorder="1" applyAlignment="1">
      <alignment horizontal="center" vertical="center"/>
      <protection/>
    </xf>
    <xf numFmtId="1" fontId="0" fillId="0" borderId="12" xfId="68" applyNumberFormat="1" applyFont="1" applyBorder="1" applyAlignment="1">
      <alignment horizontal="center" vertical="center"/>
      <protection/>
    </xf>
    <xf numFmtId="0" fontId="33" fillId="0" borderId="10" xfId="68" applyFont="1" applyBorder="1" applyAlignment="1">
      <alignment horizontal="center"/>
      <protection/>
    </xf>
    <xf numFmtId="0" fontId="33" fillId="0" borderId="12" xfId="68" applyFont="1" applyBorder="1" applyAlignment="1">
      <alignment horizontal="center"/>
      <protection/>
    </xf>
    <xf numFmtId="0" fontId="33" fillId="0" borderId="0" xfId="68" applyFont="1" applyBorder="1" applyAlignment="1">
      <alignment/>
      <protection/>
    </xf>
    <xf numFmtId="0" fontId="33" fillId="0" borderId="38" xfId="68" applyFont="1" applyBorder="1" applyAlignment="1">
      <alignment/>
      <protection/>
    </xf>
    <xf numFmtId="1" fontId="37" fillId="0" borderId="10" xfId="68" applyNumberFormat="1" applyFont="1" applyBorder="1" applyAlignment="1">
      <alignment horizontal="center" vertical="center"/>
      <protection/>
    </xf>
    <xf numFmtId="1" fontId="37" fillId="0" borderId="11" xfId="68" applyNumberFormat="1" applyFont="1" applyBorder="1" applyAlignment="1">
      <alignment horizontal="center" vertical="center"/>
      <protection/>
    </xf>
    <xf numFmtId="1" fontId="37" fillId="0" borderId="12" xfId="68" applyNumberFormat="1" applyFont="1" applyBorder="1" applyAlignment="1">
      <alignment horizontal="center" vertical="center"/>
      <protection/>
    </xf>
    <xf numFmtId="0" fontId="34" fillId="0" borderId="18" xfId="68" applyFont="1" applyBorder="1" applyAlignment="1">
      <alignment horizontal="left"/>
      <protection/>
    </xf>
    <xf numFmtId="0" fontId="33" fillId="0" borderId="0" xfId="68" applyFont="1" applyBorder="1" applyAlignment="1">
      <alignment horizontal="center" vertical="center" wrapText="1"/>
      <protection/>
    </xf>
    <xf numFmtId="0" fontId="33" fillId="0" borderId="0" xfId="68" applyFont="1" applyBorder="1" applyAlignment="1">
      <alignment horizontal="center" vertical="center"/>
      <protection/>
    </xf>
    <xf numFmtId="0" fontId="33" fillId="0" borderId="0" xfId="68" applyFont="1" applyBorder="1" applyAlignment="1">
      <alignment horizontal="center" vertical="center" textRotation="90" wrapText="1"/>
      <protection/>
    </xf>
    <xf numFmtId="0" fontId="33" fillId="0" borderId="0" xfId="68" applyFont="1">
      <alignment/>
      <protection/>
    </xf>
    <xf numFmtId="2" fontId="34" fillId="0" borderId="18" xfId="68" applyNumberFormat="1" applyFont="1" applyBorder="1" applyAlignment="1">
      <alignment horizontal="right" vertical="center"/>
      <protection/>
    </xf>
    <xf numFmtId="40" fontId="33" fillId="0" borderId="0" xfId="68" applyNumberFormat="1" applyFont="1" applyAlignment="1" applyProtection="1">
      <alignment horizontal="left" vertical="top" wrapText="1"/>
      <protection/>
    </xf>
    <xf numFmtId="0" fontId="33" fillId="0" borderId="0" xfId="68" applyFont="1" applyAlignment="1" applyProtection="1">
      <alignment horizontal="left" vertical="top" wrapText="1"/>
      <protection/>
    </xf>
    <xf numFmtId="0" fontId="33" fillId="0" borderId="29" xfId="68" applyFont="1" applyBorder="1" applyAlignment="1" applyProtection="1">
      <alignment horizontal="left" vertical="top" wrapText="1"/>
      <protection/>
    </xf>
    <xf numFmtId="0" fontId="33" fillId="0" borderId="18" xfId="68" applyFont="1" applyBorder="1" applyAlignment="1" applyProtection="1">
      <alignment horizontal="left" vertical="top" wrapText="1"/>
      <protection/>
    </xf>
    <xf numFmtId="0" fontId="33" fillId="0" borderId="32" xfId="68" applyFont="1" applyBorder="1" applyAlignment="1" applyProtection="1">
      <alignment horizontal="left" vertical="top" wrapText="1"/>
      <protection/>
    </xf>
    <xf numFmtId="0" fontId="57" fillId="0" borderId="0" xfId="68" applyFont="1" applyAlignment="1">
      <alignment horizontal="center" textRotation="90"/>
      <protection/>
    </xf>
    <xf numFmtId="0" fontId="34" fillId="0" borderId="0" xfId="68" applyFont="1" applyAlignment="1">
      <alignment vertical="center"/>
      <protection/>
    </xf>
    <xf numFmtId="0" fontId="33" fillId="0" borderId="0" xfId="68" applyFont="1" applyAlignment="1">
      <alignment horizontal="left" vertical="top" wrapText="1"/>
      <protection/>
    </xf>
    <xf numFmtId="2" fontId="34" fillId="0" borderId="18" xfId="68" applyNumberFormat="1" applyFont="1" applyBorder="1" applyAlignment="1" quotePrefix="1">
      <alignment horizontal="right" vertical="center"/>
      <protection/>
    </xf>
    <xf numFmtId="0" fontId="62" fillId="0" borderId="0" xfId="68" applyFont="1" applyAlignment="1">
      <alignment horizontal="center"/>
      <protection/>
    </xf>
    <xf numFmtId="0" fontId="33" fillId="0" borderId="18" xfId="68" applyFont="1" applyBorder="1" applyAlignment="1">
      <alignment/>
      <protection/>
    </xf>
    <xf numFmtId="0" fontId="33" fillId="0" borderId="26" xfId="68" applyFont="1" applyBorder="1" applyAlignment="1">
      <alignment horizontal="center" vertical="center"/>
      <protection/>
    </xf>
    <xf numFmtId="0" fontId="33" fillId="0" borderId="32" xfId="68" applyFont="1" applyBorder="1" applyAlignment="1">
      <alignment horizontal="center" vertical="center"/>
      <protection/>
    </xf>
    <xf numFmtId="2" fontId="35" fillId="0" borderId="22" xfId="68" applyNumberFormat="1" applyFont="1" applyBorder="1" applyAlignment="1">
      <alignment horizontal="center" vertical="center" shrinkToFit="1"/>
      <protection/>
    </xf>
    <xf numFmtId="2" fontId="35" fillId="0" borderId="23" xfId="68" applyNumberFormat="1" applyFont="1" applyBorder="1" applyAlignment="1">
      <alignment horizontal="center" vertical="center" shrinkToFit="1"/>
      <protection/>
    </xf>
    <xf numFmtId="2" fontId="35" fillId="0" borderId="26" xfId="68" applyNumberFormat="1" applyFont="1" applyBorder="1" applyAlignment="1">
      <alignment horizontal="center" vertical="center" shrinkToFit="1"/>
      <protection/>
    </xf>
    <xf numFmtId="2" fontId="35" fillId="0" borderId="25" xfId="68" applyNumberFormat="1" applyFont="1" applyBorder="1" applyAlignment="1">
      <alignment horizontal="center" vertical="center" shrinkToFit="1"/>
      <protection/>
    </xf>
    <xf numFmtId="2" fontId="35" fillId="0" borderId="18" xfId="68" applyNumberFormat="1" applyFont="1" applyBorder="1" applyAlignment="1">
      <alignment horizontal="center" vertical="center" shrinkToFit="1"/>
      <protection/>
    </xf>
    <xf numFmtId="2" fontId="35" fillId="0" borderId="32" xfId="68" applyNumberFormat="1" applyFont="1" applyBorder="1" applyAlignment="1">
      <alignment horizontal="center" vertical="center" shrinkToFit="1"/>
      <protection/>
    </xf>
    <xf numFmtId="0" fontId="33" fillId="0" borderId="22" xfId="68" applyFont="1" applyBorder="1" applyAlignment="1">
      <alignment horizontal="center" vertical="center" wrapText="1"/>
      <protection/>
    </xf>
    <xf numFmtId="0" fontId="33" fillId="0" borderId="26" xfId="68" applyFont="1" applyBorder="1" applyAlignment="1">
      <alignment horizontal="center" vertical="center" wrapText="1"/>
      <protection/>
    </xf>
    <xf numFmtId="0" fontId="33" fillId="0" borderId="25" xfId="68" applyFont="1" applyBorder="1" applyAlignment="1">
      <alignment horizontal="center" vertical="center" wrapText="1"/>
      <protection/>
    </xf>
    <xf numFmtId="0" fontId="33" fillId="0" borderId="32" xfId="68" applyFont="1" applyBorder="1" applyAlignment="1">
      <alignment horizontal="center" vertical="center" wrapText="1"/>
      <protection/>
    </xf>
    <xf numFmtId="2" fontId="40" fillId="0" borderId="23" xfId="68" applyNumberFormat="1" applyFont="1" applyBorder="1" applyAlignment="1">
      <alignment horizontal="left" vertical="center" wrapText="1"/>
      <protection/>
    </xf>
    <xf numFmtId="2" fontId="40" fillId="0" borderId="26" xfId="68" applyNumberFormat="1" applyFont="1" applyBorder="1" applyAlignment="1">
      <alignment horizontal="left" vertical="center" wrapText="1"/>
      <protection/>
    </xf>
    <xf numFmtId="2" fontId="40" fillId="0" borderId="18" xfId="68" applyNumberFormat="1" applyFont="1" applyBorder="1" applyAlignment="1">
      <alignment horizontal="left" vertical="center" wrapText="1"/>
      <protection/>
    </xf>
    <xf numFmtId="2" fontId="40" fillId="0" borderId="32" xfId="68" applyNumberFormat="1" applyFont="1" applyBorder="1" applyAlignment="1">
      <alignment horizontal="left" vertical="center" wrapText="1"/>
      <protection/>
    </xf>
    <xf numFmtId="0" fontId="38" fillId="0" borderId="22" xfId="68" applyFont="1" applyBorder="1" applyAlignment="1">
      <alignment horizontal="left" vertical="center" wrapText="1"/>
      <protection/>
    </xf>
    <xf numFmtId="0" fontId="38" fillId="0" borderId="26" xfId="68" applyFont="1" applyBorder="1" applyAlignment="1">
      <alignment horizontal="left" vertical="center" wrapText="1"/>
      <protection/>
    </xf>
    <xf numFmtId="0" fontId="38" fillId="0" borderId="25" xfId="68" applyFont="1" applyBorder="1" applyAlignment="1">
      <alignment horizontal="left" vertical="center" wrapText="1"/>
      <protection/>
    </xf>
    <xf numFmtId="0" fontId="38" fillId="0" borderId="32" xfId="68" applyFont="1" applyBorder="1" applyAlignment="1">
      <alignment horizontal="left" vertical="center" wrapText="1"/>
      <protection/>
    </xf>
    <xf numFmtId="0" fontId="33" fillId="0" borderId="10" xfId="68" applyFont="1" applyBorder="1" applyAlignment="1">
      <alignment horizontal="center" vertical="center"/>
      <protection/>
    </xf>
    <xf numFmtId="0" fontId="33" fillId="0" borderId="11" xfId="68" applyFont="1" applyBorder="1" applyAlignment="1">
      <alignment horizontal="center" vertical="center"/>
      <protection/>
    </xf>
    <xf numFmtId="2" fontId="40" fillId="0" borderId="22" xfId="68" applyNumberFormat="1" applyFont="1" applyBorder="1" applyAlignment="1">
      <alignment horizontal="left" vertical="center" wrapText="1"/>
      <protection/>
    </xf>
    <xf numFmtId="2" fontId="40" fillId="0" borderId="25" xfId="68" applyNumberFormat="1" applyFont="1" applyBorder="1" applyAlignment="1">
      <alignment horizontal="left" vertical="center" wrapText="1"/>
      <protection/>
    </xf>
    <xf numFmtId="0" fontId="38" fillId="0" borderId="24" xfId="68" applyFont="1" applyBorder="1" applyAlignment="1">
      <alignment horizontal="right" vertical="center"/>
      <protection/>
    </xf>
    <xf numFmtId="0" fontId="38" fillId="0" borderId="0" xfId="68" applyFont="1" applyAlignment="1">
      <alignment horizontal="right" vertical="center"/>
      <protection/>
    </xf>
    <xf numFmtId="0" fontId="40" fillId="0" borderId="0" xfId="68" applyFont="1" applyBorder="1" applyAlignment="1">
      <alignment horizontal="left" wrapText="1"/>
      <protection/>
    </xf>
    <xf numFmtId="0" fontId="44" fillId="0" borderId="11" xfId="68" applyFont="1" applyBorder="1" applyAlignment="1">
      <alignment/>
      <protection/>
    </xf>
    <xf numFmtId="0" fontId="43" fillId="0" borderId="0" xfId="68" applyFont="1" applyBorder="1" applyAlignment="1">
      <alignment horizontal="center" vertical="center" wrapText="1"/>
      <protection/>
    </xf>
    <xf numFmtId="0" fontId="43" fillId="0" borderId="18" xfId="68" applyFont="1" applyBorder="1" applyAlignment="1">
      <alignment horizontal="center" vertical="center" wrapText="1"/>
      <protection/>
    </xf>
    <xf numFmtId="0" fontId="48" fillId="22" borderId="0" xfId="69" applyFont="1" applyFill="1" applyBorder="1" applyAlignment="1" applyProtection="1">
      <alignment horizontal="center" vertical="center"/>
      <protection hidden="1"/>
    </xf>
    <xf numFmtId="0" fontId="50" fillId="22" borderId="51" xfId="69" applyFont="1" applyFill="1" applyBorder="1" applyAlignment="1" applyProtection="1">
      <alignment horizontal="center" vertical="center"/>
      <protection hidden="1"/>
    </xf>
    <xf numFmtId="0" fontId="50" fillId="22" borderId="0" xfId="69" applyFont="1" applyFill="1" applyBorder="1" applyAlignment="1" applyProtection="1">
      <alignment horizontal="center" vertical="center"/>
      <protection hidden="1"/>
    </xf>
    <xf numFmtId="0" fontId="51" fillId="22" borderId="51" xfId="69" applyFont="1" applyFill="1" applyBorder="1" applyAlignment="1" applyProtection="1">
      <alignment horizontal="center" vertical="center"/>
      <protection hidden="1"/>
    </xf>
    <xf numFmtId="0" fontId="51" fillId="22" borderId="52" xfId="69" applyFont="1" applyFill="1" applyBorder="1" applyAlignment="1" applyProtection="1">
      <alignment horizontal="center" vertical="center"/>
      <protection hidden="1"/>
    </xf>
    <xf numFmtId="0" fontId="6" fillId="22" borderId="52" xfId="69" applyFont="1" applyFill="1" applyBorder="1" applyAlignment="1" applyProtection="1">
      <alignment horizontal="center" vertical="center"/>
      <protection hidden="1"/>
    </xf>
    <xf numFmtId="0" fontId="18"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46" fillId="0" borderId="17" xfId="0" applyFont="1" applyBorder="1" applyAlignment="1">
      <alignment horizontal="justify" vertical="center" wrapText="1"/>
    </xf>
    <xf numFmtId="0" fontId="46" fillId="0" borderId="0" xfId="0" applyFont="1" applyBorder="1" applyAlignment="1">
      <alignment horizontal="justify" vertical="center" wrapText="1"/>
    </xf>
    <xf numFmtId="0" fontId="47" fillId="0" borderId="20" xfId="0" applyFont="1" applyBorder="1" applyAlignment="1">
      <alignment horizontal="center" vertical="center" wrapText="1"/>
    </xf>
    <xf numFmtId="0" fontId="47" fillId="0" borderId="0" xfId="0" applyFont="1" applyBorder="1" applyAlignment="1">
      <alignment horizontal="center" vertical="center" wrapText="1"/>
    </xf>
    <xf numFmtId="0" fontId="3" fillId="0" borderId="0" xfId="0" applyFont="1" applyBorder="1" applyAlignment="1">
      <alignment horizontal="center" vertical="center"/>
    </xf>
    <xf numFmtId="0" fontId="46" fillId="0" borderId="17"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top"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7" xfId="0" applyFont="1" applyBorder="1" applyAlignment="1">
      <alignment horizontal="left" vertical="center" wrapText="1"/>
    </xf>
    <xf numFmtId="0" fontId="45"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53" xfId="0" applyFont="1" applyBorder="1" applyAlignment="1">
      <alignment horizontal="center" vertical="center" wrapText="1"/>
    </xf>
    <xf numFmtId="0" fontId="2" fillId="0" borderId="22" xfId="0" applyNumberFormat="1" applyFont="1" applyBorder="1" applyAlignment="1">
      <alignment horizontal="justify" vertical="top" wrapText="1"/>
    </xf>
    <xf numFmtId="0" fontId="2" fillId="0" borderId="23" xfId="0" applyNumberFormat="1" applyFont="1" applyBorder="1" applyAlignment="1">
      <alignment horizontal="justify" vertical="top" wrapText="1"/>
    </xf>
    <xf numFmtId="0" fontId="2" fillId="0" borderId="54" xfId="0" applyNumberFormat="1" applyFont="1" applyBorder="1" applyAlignment="1">
      <alignment horizontal="justify" vertical="top" wrapText="1"/>
    </xf>
    <xf numFmtId="0" fontId="2" fillId="0" borderId="2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38" xfId="0" applyNumberFormat="1" applyFont="1" applyBorder="1" applyAlignment="1">
      <alignment horizontal="justify" vertical="top" wrapText="1"/>
    </xf>
    <xf numFmtId="0" fontId="2" fillId="0" borderId="25" xfId="0" applyNumberFormat="1" applyFont="1" applyBorder="1" applyAlignment="1">
      <alignment horizontal="justify" vertical="top" wrapText="1"/>
    </xf>
    <xf numFmtId="0" fontId="2" fillId="0" borderId="18" xfId="0" applyNumberFormat="1" applyFont="1" applyBorder="1" applyAlignment="1">
      <alignment horizontal="justify" vertical="top" wrapText="1"/>
    </xf>
    <xf numFmtId="0" fontId="2" fillId="0" borderId="55" xfId="0" applyNumberFormat="1" applyFont="1" applyBorder="1" applyAlignment="1">
      <alignment horizontal="justify" vertical="top" wrapText="1"/>
    </xf>
    <xf numFmtId="0" fontId="46" fillId="0" borderId="0" xfId="0" applyFont="1" applyBorder="1" applyAlignment="1">
      <alignment horizontal="center" vertical="center" wrapText="1"/>
    </xf>
    <xf numFmtId="0" fontId="3" fillId="0" borderId="15"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4" xfId="65"/>
    <cellStyle name="Normal 5" xfId="66"/>
    <cellStyle name="Normal 6" xfId="67"/>
    <cellStyle name="Normal_AAS" xfId="68"/>
    <cellStyle name="Normal_Converts Numbers to Rupees in Words"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dattu\My%20Documents\Downloads\d.A.%20Arrears%20NewJanuary%20%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GPF"/>
      <sheetName val="CP"/>
      <sheetName val="Annexure"/>
      <sheetName val="Form 47"/>
    </sheetNames>
    <sheetDataSet>
      <sheetData sheetId="2">
        <row r="37">
          <cell r="G37">
            <v>105615</v>
          </cell>
        </row>
      </sheetData>
      <sheetData sheetId="3">
        <row r="33">
          <cell r="F33">
            <v>50457</v>
          </cell>
        </row>
      </sheetData>
      <sheetData sheetId="5">
        <row r="44">
          <cell r="Z44">
            <v>43664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tumedak.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Q201"/>
  <sheetViews>
    <sheetView zoomScalePageLayoutView="0" workbookViewId="0" topLeftCell="O1">
      <selection activeCell="A1" sqref="A1:AC16384"/>
    </sheetView>
  </sheetViews>
  <sheetFormatPr defaultColWidth="15.7109375" defaultRowHeight="12.75"/>
  <cols>
    <col min="1" max="16384" width="11.8515625" style="172" customWidth="1"/>
  </cols>
  <sheetData>
    <row r="3" spans="2:9" ht="12.75">
      <c r="B3" s="172" t="s">
        <v>0</v>
      </c>
      <c r="C3" s="201" t="s">
        <v>326</v>
      </c>
      <c r="D3" s="201"/>
      <c r="E3" s="201"/>
      <c r="F3" s="201"/>
      <c r="G3" s="201"/>
      <c r="H3" s="201"/>
      <c r="I3" s="201"/>
    </row>
    <row r="4" spans="3:9" ht="12.75">
      <c r="C4" s="203" t="s">
        <v>327</v>
      </c>
      <c r="D4" s="203"/>
      <c r="E4" s="203"/>
      <c r="F4" s="203"/>
      <c r="G4" s="203"/>
      <c r="H4" s="203"/>
      <c r="I4" s="203"/>
    </row>
    <row r="5" spans="3:9" ht="48.75" customHeight="1">
      <c r="C5" s="204" t="str">
        <f>CONCATENATE(C3,Sheet1!L113," ",Data!E4,",",Data!D5,",",Sheet1!F91,",","Mandal"," "," ",Data!D7,"- ",C4)</f>
        <v>Earned Leave-Encashment of Earned Leave in respect of  Sri R.Ramesh,,MP.PS .Tekmal,Mandal  Tekmal- Sanction Orders - Issued.</v>
      </c>
      <c r="D5" s="204"/>
      <c r="E5" s="204"/>
      <c r="F5" s="204"/>
      <c r="G5" s="204"/>
      <c r="H5" s="204"/>
      <c r="I5" s="204"/>
    </row>
    <row r="6" spans="3:9" ht="12.75" hidden="1">
      <c r="C6" s="204"/>
      <c r="D6" s="204"/>
      <c r="E6" s="204"/>
      <c r="F6" s="204"/>
      <c r="G6" s="204"/>
      <c r="H6" s="204"/>
      <c r="I6" s="204"/>
    </row>
    <row r="7" spans="3:9" ht="12.75" hidden="1">
      <c r="C7" s="204"/>
      <c r="D7" s="204"/>
      <c r="E7" s="204"/>
      <c r="F7" s="204"/>
      <c r="G7" s="204"/>
      <c r="H7" s="204"/>
      <c r="I7" s="204"/>
    </row>
    <row r="8" spans="3:9" ht="12.75" hidden="1">
      <c r="C8" s="204"/>
      <c r="D8" s="204"/>
      <c r="E8" s="204"/>
      <c r="F8" s="204"/>
      <c r="G8" s="204"/>
      <c r="H8" s="204"/>
      <c r="I8" s="204"/>
    </row>
    <row r="9" spans="3:9" ht="12" customHeight="1">
      <c r="C9" s="204"/>
      <c r="D9" s="204"/>
      <c r="E9" s="204"/>
      <c r="F9" s="204"/>
      <c r="G9" s="204"/>
      <c r="H9" s="204"/>
      <c r="I9" s="204"/>
    </row>
    <row r="12" spans="2:9" ht="12.75">
      <c r="B12" s="200" t="str">
        <f>CONCATENATE("          ",Sheet1!L113,"",Data!E4,",",Sheet1!E56,Data!D5,",",Sheet1!F91," ,","Mandal",": ",Data!D7," -","has  retired from Service on ",Data!D8,Sheet1!G65)</f>
        <v>          SriR.Ramesh,Seconday Grade Teacher,MP.PS .Tekmal ,Mandal: Tekmal -has  retired from Service on 30.7.2013</v>
      </c>
      <c r="C12" s="200"/>
      <c r="D12" s="200"/>
      <c r="E12" s="200"/>
      <c r="F12" s="200"/>
      <c r="G12" s="200"/>
      <c r="H12" s="200"/>
      <c r="I12" s="200"/>
    </row>
    <row r="13" spans="2:9" ht="12.75">
      <c r="B13" s="200"/>
      <c r="C13" s="200"/>
      <c r="D13" s="200"/>
      <c r="E13" s="200"/>
      <c r="F13" s="200"/>
      <c r="G13" s="200"/>
      <c r="H13" s="200"/>
      <c r="I13" s="200"/>
    </row>
    <row r="14" spans="2:9" ht="8.25" customHeight="1">
      <c r="B14" s="200"/>
      <c r="C14" s="200"/>
      <c r="D14" s="200"/>
      <c r="E14" s="200"/>
      <c r="F14" s="200"/>
      <c r="G14" s="200"/>
      <c r="H14" s="200"/>
      <c r="I14" s="200"/>
    </row>
    <row r="15" spans="2:9" ht="12.75" hidden="1">
      <c r="B15" s="200"/>
      <c r="C15" s="200"/>
      <c r="D15" s="200"/>
      <c r="E15" s="200"/>
      <c r="F15" s="200"/>
      <c r="G15" s="200"/>
      <c r="H15" s="200"/>
      <c r="I15" s="200"/>
    </row>
    <row r="16" spans="2:9" ht="12.75" hidden="1">
      <c r="B16" s="200"/>
      <c r="C16" s="200"/>
      <c r="D16" s="200"/>
      <c r="E16" s="200"/>
      <c r="F16" s="200"/>
      <c r="G16" s="200"/>
      <c r="H16" s="200"/>
      <c r="I16" s="200"/>
    </row>
    <row r="17" spans="2:9" ht="12.75" hidden="1">
      <c r="B17" s="200"/>
      <c r="C17" s="200"/>
      <c r="D17" s="200"/>
      <c r="E17" s="200"/>
      <c r="F17" s="200"/>
      <c r="G17" s="200"/>
      <c r="H17" s="200"/>
      <c r="I17" s="200"/>
    </row>
    <row r="18" spans="2:9" ht="12.75" hidden="1">
      <c r="B18" s="200"/>
      <c r="C18" s="200"/>
      <c r="D18" s="200"/>
      <c r="E18" s="200"/>
      <c r="F18" s="200"/>
      <c r="G18" s="200"/>
      <c r="H18" s="200"/>
      <c r="I18" s="200"/>
    </row>
    <row r="19" spans="2:9" ht="12.75" hidden="1">
      <c r="B19" s="200"/>
      <c r="C19" s="200"/>
      <c r="D19" s="200"/>
      <c r="E19" s="200"/>
      <c r="F19" s="200"/>
      <c r="G19" s="200"/>
      <c r="H19" s="200"/>
      <c r="I19" s="200"/>
    </row>
    <row r="20" spans="2:9" ht="12.75">
      <c r="B20" s="200" t="str">
        <f>CONCATENATE("                     ","After verifying the Service Book of The Individual it is found that there are ",Data!D9," "," Days  Earned Leaves are balace in Leave account of his Service Book vide SR.Page No")</f>
        <v>                     After verifying the Service Book of The Individual it is found that there are 300  Days  Earned Leaves are balace in Leave account of his Service Book vide SR.Page No</v>
      </c>
      <c r="C20" s="200"/>
      <c r="D20" s="200"/>
      <c r="E20" s="200"/>
      <c r="F20" s="200"/>
      <c r="G20" s="200"/>
      <c r="H20" s="200"/>
      <c r="I20" s="200"/>
    </row>
    <row r="21" spans="2:9" ht="12.75">
      <c r="B21" s="200"/>
      <c r="C21" s="200"/>
      <c r="D21" s="200"/>
      <c r="E21" s="200"/>
      <c r="F21" s="200"/>
      <c r="G21" s="200"/>
      <c r="H21" s="200"/>
      <c r="I21" s="200"/>
    </row>
    <row r="22" spans="2:9" ht="12.75">
      <c r="B22" s="200"/>
      <c r="C22" s="200"/>
      <c r="D22" s="200"/>
      <c r="E22" s="200"/>
      <c r="F22" s="200"/>
      <c r="G22" s="200"/>
      <c r="H22" s="200"/>
      <c r="I22" s="200"/>
    </row>
    <row r="23" spans="2:9" ht="12.75">
      <c r="B23" s="200"/>
      <c r="C23" s="200"/>
      <c r="D23" s="200"/>
      <c r="E23" s="200"/>
      <c r="F23" s="200"/>
      <c r="G23" s="200"/>
      <c r="H23" s="200"/>
      <c r="I23" s="200"/>
    </row>
    <row r="24" spans="2:9" ht="12.75">
      <c r="B24" s="200"/>
      <c r="C24" s="200"/>
      <c r="D24" s="200"/>
      <c r="E24" s="200"/>
      <c r="F24" s="200"/>
      <c r="G24" s="200"/>
      <c r="H24" s="200"/>
      <c r="I24" s="200"/>
    </row>
    <row r="25" spans="1:9" ht="12.75">
      <c r="A25" s="203" t="str">
        <f>CONCATENATE("Proceedings of The"," ",Sheet1!F84," ",Data!D14)</f>
        <v>Proceedings of The Mandal Educational Officer M.P.Tekmal</v>
      </c>
      <c r="B25" s="203"/>
      <c r="C25" s="203"/>
      <c r="D25" s="203"/>
      <c r="E25" s="203"/>
      <c r="F25" s="203"/>
      <c r="G25" s="203"/>
      <c r="H25" s="203"/>
      <c r="I25" s="203"/>
    </row>
    <row r="26" spans="2:9" ht="12.75">
      <c r="B26" s="200" t="str">
        <f>CONCATENATE("                     ","In view of the above Government Orders the,""",Sheet1!F84," ","Mandal"," ",Data!D7," is Pleased to Sanction"," ",Data!D9," ","days encashment of Earned Leaves with full Pay and allowances equilvalent to leave Salary as the existing rates of emoluments as on the date retirement for the period of EL's permitted to encash")</f>
        <v>                     In view of the above Government Orders the,"Mandal Educational Officer Mandal Tekmal is Pleased to Sanction 300 days encashment of Earned Leaves with full Pay and allowances equilvalent to leave Salary as the existing rates of emoluments as on the date retirement for the period of EL's permitted to encash</v>
      </c>
      <c r="C26" s="200"/>
      <c r="D26" s="200"/>
      <c r="E26" s="200"/>
      <c r="F26" s="200"/>
      <c r="G26" s="200"/>
      <c r="H26" s="200"/>
      <c r="I26" s="200"/>
    </row>
    <row r="27" spans="2:9" ht="12.75">
      <c r="B27" s="200"/>
      <c r="C27" s="200"/>
      <c r="D27" s="200"/>
      <c r="E27" s="200"/>
      <c r="F27" s="200"/>
      <c r="G27" s="200"/>
      <c r="H27" s="200"/>
      <c r="I27" s="200"/>
    </row>
    <row r="28" spans="2:9" ht="12.75">
      <c r="B28" s="200"/>
      <c r="C28" s="200"/>
      <c r="D28" s="200"/>
      <c r="E28" s="200"/>
      <c r="F28" s="200"/>
      <c r="G28" s="200"/>
      <c r="H28" s="200"/>
      <c r="I28" s="200"/>
    </row>
    <row r="29" spans="2:9" ht="12.75">
      <c r="B29" s="200"/>
      <c r="C29" s="200"/>
      <c r="D29" s="200"/>
      <c r="E29" s="200"/>
      <c r="F29" s="200"/>
      <c r="G29" s="200"/>
      <c r="H29" s="200"/>
      <c r="I29" s="200"/>
    </row>
    <row r="30" spans="2:9" ht="12.75">
      <c r="B30" s="200"/>
      <c r="C30" s="200"/>
      <c r="D30" s="200"/>
      <c r="E30" s="200"/>
      <c r="F30" s="200"/>
      <c r="G30" s="200"/>
      <c r="H30" s="200"/>
      <c r="I30" s="200"/>
    </row>
    <row r="31" spans="2:9" ht="12.75">
      <c r="B31" s="200"/>
      <c r="C31" s="200"/>
      <c r="D31" s="200"/>
      <c r="E31" s="200"/>
      <c r="F31" s="200"/>
      <c r="G31" s="200"/>
      <c r="H31" s="200"/>
      <c r="I31" s="200"/>
    </row>
    <row r="35" spans="2:7" ht="12.75">
      <c r="B35" s="172" t="s">
        <v>106</v>
      </c>
      <c r="C35" s="172" t="s">
        <v>107</v>
      </c>
      <c r="D35" s="172" t="s">
        <v>108</v>
      </c>
      <c r="E35" s="172" t="s">
        <v>110</v>
      </c>
      <c r="F35" s="172" t="s">
        <v>109</v>
      </c>
      <c r="G35" s="172" t="s">
        <v>111</v>
      </c>
    </row>
    <row r="36" spans="2:7" ht="12.75">
      <c r="B36" s="173">
        <f>Sheet1!G116</f>
        <v>21250</v>
      </c>
      <c r="C36" s="173">
        <f>Sheet1!H116</f>
        <v>4250</v>
      </c>
      <c r="D36" s="173">
        <f>Sheet1!I116</f>
        <v>6367</v>
      </c>
      <c r="E36" s="173">
        <f>SUM(B36:D36)</f>
        <v>31867</v>
      </c>
      <c r="F36" s="173" t="str">
        <f>N129</f>
        <v>30 Days</v>
      </c>
      <c r="G36" s="173">
        <f>E36*Sheet1!N125</f>
        <v>31867</v>
      </c>
    </row>
    <row r="37" spans="2:7" ht="12.75">
      <c r="B37" s="173">
        <f>Sheet1!G117</f>
        <v>0</v>
      </c>
      <c r="C37" s="173">
        <f>Sheet1!H117</f>
        <v>0</v>
      </c>
      <c r="D37" s="173">
        <f>Sheet1!I117</f>
        <v>0</v>
      </c>
      <c r="E37" s="173">
        <f>SUM(B37:D37)</f>
        <v>0</v>
      </c>
      <c r="F37" s="173" t="str">
        <f>CONCATENATE(Sheet1!O125," ","Days")</f>
        <v>0 Days</v>
      </c>
      <c r="G37" s="173">
        <f>E37*Sheet1!O125</f>
        <v>0</v>
      </c>
    </row>
    <row r="38" spans="2:7" ht="12.75">
      <c r="B38" s="173">
        <f>SUM(B36:B37)</f>
        <v>21250</v>
      </c>
      <c r="C38" s="173">
        <f>SUM(C36:C37)</f>
        <v>4250</v>
      </c>
      <c r="D38" s="173">
        <f>SUM(D36:D37)</f>
        <v>6367</v>
      </c>
      <c r="E38" s="173">
        <f>SUM(E36:E37)</f>
        <v>31867</v>
      </c>
      <c r="F38" s="173" t="str">
        <f>CONCATENATE(Data!D9,"  ","Days")</f>
        <v>300  Days</v>
      </c>
      <c r="G38" s="173">
        <f>SUM(G36:G37)</f>
        <v>31867</v>
      </c>
    </row>
    <row r="39" spans="2:8" ht="12.75">
      <c r="B39" s="173">
        <f>IF(Data!D9&lt;30,Sheet1!B37,B36)</f>
        <v>21250</v>
      </c>
      <c r="C39" s="173">
        <f>IF(Data!D9&lt;30,Sheet1!C37,C36)</f>
        <v>4250</v>
      </c>
      <c r="D39" s="173">
        <f>IF(Data!D9&lt;30,Sheet1!D37,D36)</f>
        <v>6367</v>
      </c>
      <c r="E39" s="173">
        <f>B39+C39+D39</f>
        <v>31867</v>
      </c>
      <c r="F39" s="173" t="str">
        <f>IF(Data!D9&lt;30,Sheet1!F37,F36)</f>
        <v>30 Days</v>
      </c>
      <c r="G39" s="173">
        <f>IF(Data!D9&gt;30,Sheet1!G36,E39)</f>
        <v>31867</v>
      </c>
      <c r="H39" s="172">
        <f>G39+G40</f>
        <v>31867</v>
      </c>
    </row>
    <row r="40" spans="2:7" ht="12.75">
      <c r="B40" s="173">
        <f>IF(Data!D9&gt;30,B37,IF(Data!D9&lt;30,""))</f>
        <v>0</v>
      </c>
      <c r="C40" s="173">
        <f>IF(Data!D9&gt;30,C37,IF(Data!D9&lt;30,""))</f>
        <v>0</v>
      </c>
      <c r="D40" s="173">
        <f>IF(Data!D9&gt;30,D37,IF(Data!D9&lt;30,""))</f>
        <v>0</v>
      </c>
      <c r="E40" s="173">
        <f>IF(Data!D9&lt;30,"",B40+C40+D40)</f>
        <v>0</v>
      </c>
      <c r="F40" s="172" t="str">
        <f>IF(Data!D9&lt;30,"",F37)</f>
        <v>0 Days</v>
      </c>
      <c r="G40" s="173">
        <f>E40</f>
        <v>0</v>
      </c>
    </row>
    <row r="41" spans="2:7" ht="12.75">
      <c r="B41" s="174">
        <f>SUM(B39:B40)</f>
        <v>21250</v>
      </c>
      <c r="C41" s="174">
        <f>SUM(C39:C40)</f>
        <v>4250</v>
      </c>
      <c r="D41" s="174">
        <f>SUM(D39:D40)</f>
        <v>6367</v>
      </c>
      <c r="E41" s="174">
        <f>SUM(E39:E40)</f>
        <v>31867</v>
      </c>
      <c r="F41" s="174" t="str">
        <f>F38</f>
        <v>300  Days</v>
      </c>
      <c r="G41" s="174">
        <f>IF(Data!D9&lt;30,Sheet1!E41,G39+G40)</f>
        <v>31867</v>
      </c>
    </row>
    <row r="42" ht="12.75">
      <c r="H42" s="172">
        <f>34067+4088+10206</f>
        <v>48361</v>
      </c>
    </row>
    <row r="43" spans="11:16" ht="12.75">
      <c r="K43" s="172" t="s">
        <v>106</v>
      </c>
      <c r="L43" s="172" t="s">
        <v>107</v>
      </c>
      <c r="M43" s="172" t="s">
        <v>108</v>
      </c>
      <c r="O43" s="172" t="s">
        <v>343</v>
      </c>
      <c r="P43" s="172" t="s">
        <v>345</v>
      </c>
    </row>
    <row r="44" spans="2:17" ht="12.75">
      <c r="B44" s="175" t="s">
        <v>106</v>
      </c>
      <c r="C44" s="175" t="s">
        <v>107</v>
      </c>
      <c r="D44" s="175" t="s">
        <v>108</v>
      </c>
      <c r="E44" s="175" t="s">
        <v>110</v>
      </c>
      <c r="F44" s="175" t="s">
        <v>109</v>
      </c>
      <c r="G44" s="175" t="s">
        <v>111</v>
      </c>
      <c r="I44" s="172">
        <f>Data!D9</f>
        <v>300</v>
      </c>
      <c r="J44" s="172">
        <f>IF(I44&gt;=30,30,I44)</f>
        <v>30</v>
      </c>
      <c r="K44" s="172">
        <f>IF(J44=30,G116,IF(J44=""," ",G117))</f>
        <v>21250</v>
      </c>
      <c r="L44" s="172">
        <f>IF(J44=30,I116,IF(J44="","",I117))</f>
        <v>6367</v>
      </c>
      <c r="M44" s="172">
        <f>IF(J44=30,H116,IF(J44="","",H117))</f>
        <v>4250</v>
      </c>
      <c r="N44" s="172">
        <f>IF(J44=30,P128,IF(J44="","",Q128))</f>
        <v>45</v>
      </c>
      <c r="O44" s="172">
        <f>IF(J44=30,P129,IF(J44="","",Q129))</f>
        <v>90</v>
      </c>
      <c r="P44" s="172">
        <f>IF(J44=30,P129,IF(J44="","",Q129))</f>
        <v>90</v>
      </c>
      <c r="Q44" s="172">
        <f>IF(J44="","",SUM(K44:O44))</f>
        <v>32002</v>
      </c>
    </row>
    <row r="45" spans="2:17" ht="12.75">
      <c r="B45" s="176"/>
      <c r="C45" s="176"/>
      <c r="D45" s="176"/>
      <c r="E45" s="176"/>
      <c r="F45" s="176"/>
      <c r="G45" s="176"/>
      <c r="I45" s="172">
        <f>IF(I44&gt;30,I44-30,0)</f>
        <v>270</v>
      </c>
      <c r="J45" s="172">
        <f aca="true" t="shared" si="0" ref="J45:J53">IF(I45&gt;=30,30,IF(I45=0,"",I45))</f>
        <v>30</v>
      </c>
      <c r="K45" s="172">
        <f>IF(J45=30,G116,IF(J45=""," ",G117))</f>
        <v>21250</v>
      </c>
      <c r="L45" s="172">
        <f>IF(J45=30,I116,IF(J45="","",I117))</f>
        <v>6367</v>
      </c>
      <c r="M45" s="172">
        <f>IF(J45=30,H116,IF(J45="","",H117))</f>
        <v>4250</v>
      </c>
      <c r="N45" s="172">
        <f>IF(J45=30,P128,IF(J45="","",Q128))</f>
        <v>45</v>
      </c>
      <c r="O45" s="172">
        <f>IF(J45=30,P129,IF(J45="","",Q129))</f>
        <v>90</v>
      </c>
      <c r="P45" s="172">
        <f>IF(J45=30,P129,IF(J45="","",Q129))</f>
        <v>90</v>
      </c>
      <c r="Q45" s="172">
        <f aca="true" t="shared" si="1" ref="Q45:Q53">IF(J45="","",SUM(K45:O45))</f>
        <v>32002</v>
      </c>
    </row>
    <row r="46" spans="2:17" ht="12.75">
      <c r="B46" s="176"/>
      <c r="C46" s="176"/>
      <c r="D46" s="176"/>
      <c r="E46" s="176"/>
      <c r="F46" s="176"/>
      <c r="G46" s="176"/>
      <c r="I46" s="172">
        <f aca="true" t="shared" si="2" ref="I46:I53">IF(I45&gt;30,I45-30,0)</f>
        <v>240</v>
      </c>
      <c r="J46" s="172">
        <f t="shared" si="0"/>
        <v>30</v>
      </c>
      <c r="K46" s="172">
        <f>IF(J46=30,G116,IF(J46="","",G117))</f>
        <v>21250</v>
      </c>
      <c r="L46" s="172">
        <f>IF(J46=30,I116,IF(J46="","",I117))</f>
        <v>6367</v>
      </c>
      <c r="M46" s="172">
        <f>IF(J46=30,H116,IF(J46="","",H117))</f>
        <v>4250</v>
      </c>
      <c r="N46" s="172">
        <f>IF(J46=30,P128,IF(J46="","",Q128))</f>
        <v>45</v>
      </c>
      <c r="O46" s="172">
        <f>IF(J46=30,P129,IF(J46="","",Q129))</f>
        <v>90</v>
      </c>
      <c r="P46" s="172">
        <f>IF(J46=30,P129,IF(J46="","",Q129))</f>
        <v>90</v>
      </c>
      <c r="Q46" s="172">
        <f t="shared" si="1"/>
        <v>32002</v>
      </c>
    </row>
    <row r="47" spans="2:17" ht="12.75">
      <c r="B47" s="175"/>
      <c r="C47" s="175"/>
      <c r="D47" s="175"/>
      <c r="E47" s="175"/>
      <c r="F47" s="175"/>
      <c r="G47" s="175"/>
      <c r="I47" s="172">
        <f t="shared" si="2"/>
        <v>210</v>
      </c>
      <c r="J47" s="172">
        <f t="shared" si="0"/>
        <v>30</v>
      </c>
      <c r="K47" s="172">
        <f>IF(J47=30,G116,IF(J47="","",G117))</f>
        <v>21250</v>
      </c>
      <c r="L47" s="172">
        <f>IF(J47=30,I116,IF(J47="","",I117))</f>
        <v>6367</v>
      </c>
      <c r="M47" s="172">
        <f>IF(J47=30,H116,IF(J47="","",H117))</f>
        <v>4250</v>
      </c>
      <c r="N47" s="172">
        <f>IF(J47=30,P128,IF(J47="","",Q128))</f>
        <v>45</v>
      </c>
      <c r="O47" s="172">
        <f>IF(J47=30,P129,IF(J47="","",Q129))</f>
        <v>90</v>
      </c>
      <c r="P47" s="172">
        <f>IF(J47=30,P129,IF(J47="","",Q129))</f>
        <v>90</v>
      </c>
      <c r="Q47" s="172">
        <f t="shared" si="1"/>
        <v>32002</v>
      </c>
    </row>
    <row r="48" spans="9:17" ht="12.75">
      <c r="I48" s="172">
        <f t="shared" si="2"/>
        <v>180</v>
      </c>
      <c r="J48" s="172">
        <f t="shared" si="0"/>
        <v>30</v>
      </c>
      <c r="K48" s="172">
        <f>IF(J48=30,G116,IF(J48="","",G117))</f>
        <v>21250</v>
      </c>
      <c r="L48" s="172">
        <f>IF(J48=30,I116,IF(J48="","",I117))</f>
        <v>6367</v>
      </c>
      <c r="M48" s="172">
        <f>IF(J48=30,H116,IF(J48="","",H117))</f>
        <v>4250</v>
      </c>
      <c r="N48" s="172">
        <f>IF(J48=30,P128,IF(J48="","",Q128))</f>
        <v>45</v>
      </c>
      <c r="O48" s="172">
        <f>IF(J48=30,P129,IF(J48="","",Q129))</f>
        <v>90</v>
      </c>
      <c r="P48" s="172">
        <f>IF(J48=30,P129,IF(J48="","",Q129))</f>
        <v>90</v>
      </c>
      <c r="Q48" s="172">
        <f t="shared" si="1"/>
        <v>32002</v>
      </c>
    </row>
    <row r="49" spans="2:17" ht="12.75">
      <c r="B49" s="177" t="s">
        <v>106</v>
      </c>
      <c r="C49" s="177" t="s">
        <v>107</v>
      </c>
      <c r="D49" s="177"/>
      <c r="E49" s="177"/>
      <c r="F49" s="177"/>
      <c r="G49" s="177"/>
      <c r="I49" s="172">
        <f t="shared" si="2"/>
        <v>150</v>
      </c>
      <c r="J49" s="172">
        <f t="shared" si="0"/>
        <v>30</v>
      </c>
      <c r="K49" s="172">
        <f>IF(J49=30,G116,IF(J49="","",G117))</f>
        <v>21250</v>
      </c>
      <c r="L49" s="172">
        <f>IF(J49=30,I116,IF(J49="","",I117))</f>
        <v>6367</v>
      </c>
      <c r="M49" s="172">
        <f>IF(J49=30,H116,IF(J49="","",H117))</f>
        <v>4250</v>
      </c>
      <c r="N49" s="172">
        <f>IF(J49=30,P128,IF(J49="","",SUM(K49:M49)))</f>
        <v>45</v>
      </c>
      <c r="O49" s="172">
        <f>IF(J49=30,P129,IF(J49="","",Q129))</f>
        <v>90</v>
      </c>
      <c r="P49" s="172">
        <f>IF(J49=30,P129,IF(J49="","",Q129))</f>
        <v>90</v>
      </c>
      <c r="Q49" s="172">
        <f t="shared" si="1"/>
        <v>32002</v>
      </c>
    </row>
    <row r="50" spans="2:17" ht="12.75">
      <c r="B50" s="177">
        <f>B36/2</f>
        <v>10625</v>
      </c>
      <c r="C50" s="177">
        <f>ROUND(B50*Data!F12%,0)</f>
        <v>3183</v>
      </c>
      <c r="D50" s="177"/>
      <c r="E50" s="177"/>
      <c r="F50" s="177"/>
      <c r="G50" s="177"/>
      <c r="I50" s="172">
        <f t="shared" si="2"/>
        <v>120</v>
      </c>
      <c r="J50" s="172">
        <f t="shared" si="0"/>
        <v>30</v>
      </c>
      <c r="K50" s="172">
        <f>IF(J50=30,G116,IF(J50="","",G117))</f>
        <v>21250</v>
      </c>
      <c r="L50" s="172">
        <f>IF(J50=30,I116,IF(J50="","",I117))</f>
        <v>6367</v>
      </c>
      <c r="M50" s="172">
        <f>IF(J50=30,H116,IF(J50="","",H117))</f>
        <v>4250</v>
      </c>
      <c r="N50" s="172">
        <f>IF(J50=30,P128,IF(J50="","",SUM(K50:M50)))</f>
        <v>45</v>
      </c>
      <c r="O50" s="172">
        <f>IF(J50=30,P129,IF(J50="","",Q129))</f>
        <v>90</v>
      </c>
      <c r="P50" s="172">
        <f>IF(J50=30,P129,IF(J50="","",Q129))</f>
        <v>90</v>
      </c>
      <c r="Q50" s="172">
        <f t="shared" si="1"/>
        <v>32002</v>
      </c>
    </row>
    <row r="51" spans="2:17" ht="12.75">
      <c r="B51" s="177">
        <f>ROUND(B50/30,0)</f>
        <v>354</v>
      </c>
      <c r="C51" s="177">
        <f>ROUND(C50/30,0)</f>
        <v>106</v>
      </c>
      <c r="D51" s="177">
        <f>SUM(B51:C51)</f>
        <v>460</v>
      </c>
      <c r="E51" s="177">
        <f>D51*261</f>
        <v>120060</v>
      </c>
      <c r="F51" s="177"/>
      <c r="G51" s="177"/>
      <c r="I51" s="172">
        <f t="shared" si="2"/>
        <v>90</v>
      </c>
      <c r="J51" s="172">
        <f t="shared" si="0"/>
        <v>30</v>
      </c>
      <c r="K51" s="172">
        <f>IF(J51=30,G116,IF(J51="","",G117))</f>
        <v>21250</v>
      </c>
      <c r="L51" s="172">
        <f>IF(J51=30,I116,IF(J51="","",I117))</f>
        <v>6367</v>
      </c>
      <c r="M51" s="172">
        <f>IF(J51=30,H116,IF(J51="","",H117))</f>
        <v>4250</v>
      </c>
      <c r="N51" s="172">
        <f>IF(J51=30,P128,IF(J51="","",SUM(K51:M51)))</f>
        <v>45</v>
      </c>
      <c r="O51" s="172">
        <f>IF(J51=30,P129,IF(J51="","",Q129))</f>
        <v>90</v>
      </c>
      <c r="P51" s="172">
        <f>IF(J51=30,P129,IF(J51="","",Q129))</f>
        <v>90</v>
      </c>
      <c r="Q51" s="172">
        <f t="shared" si="1"/>
        <v>32002</v>
      </c>
    </row>
    <row r="52" spans="9:17" ht="12.75">
      <c r="I52" s="172">
        <f t="shared" si="2"/>
        <v>60</v>
      </c>
      <c r="J52" s="172">
        <f t="shared" si="0"/>
        <v>30</v>
      </c>
      <c r="K52" s="172">
        <f>IF(J52=30,G116,IF(J52="","",G117))</f>
        <v>21250</v>
      </c>
      <c r="L52" s="172">
        <f>IF(J52=30,I116,IF(J52="","",I117))</f>
        <v>6367</v>
      </c>
      <c r="M52" s="172">
        <f>IF(J52=30,H116,IF(J52="","",H117))</f>
        <v>4250</v>
      </c>
      <c r="N52" s="172">
        <f>IF(J52=30,P128,IF(J52="","",SUM(K52:M52)))</f>
        <v>45</v>
      </c>
      <c r="O52" s="172">
        <f>IF(J52=30,P129,IF(J52="","",Q129))</f>
        <v>90</v>
      </c>
      <c r="P52" s="172">
        <f>IF(J52=30,P129,IF(J52="","",Q129))</f>
        <v>90</v>
      </c>
      <c r="Q52" s="172">
        <f t="shared" si="1"/>
        <v>32002</v>
      </c>
    </row>
    <row r="53" spans="9:17" ht="12.75">
      <c r="I53" s="172">
        <f t="shared" si="2"/>
        <v>30</v>
      </c>
      <c r="J53" s="172">
        <f t="shared" si="0"/>
        <v>30</v>
      </c>
      <c r="K53" s="172">
        <f>IF(J53=30,G116,IF(J53="","",G117))</f>
        <v>21250</v>
      </c>
      <c r="L53" s="172">
        <f>IF(J53=30,I116,IF(J53="","",I117))</f>
        <v>6367</v>
      </c>
      <c r="M53" s="172">
        <f>IF(J53=30,H116,IF(J53="","",H117))</f>
        <v>4250</v>
      </c>
      <c r="N53" s="172">
        <f>IF(J53=30,P128,IF(J53="","",SUM(K53:M53)))</f>
        <v>45</v>
      </c>
      <c r="O53" s="172">
        <f>IF(J53=30,P129,IF(J53="","",Q128))</f>
        <v>90</v>
      </c>
      <c r="P53" s="172">
        <f>IF(J53=30,P129,IF(J53="","",Q129))</f>
        <v>90</v>
      </c>
      <c r="Q53" s="172">
        <f t="shared" si="1"/>
        <v>32002</v>
      </c>
    </row>
    <row r="54" spans="2:17" ht="12.75">
      <c r="B54" s="172" t="s">
        <v>227</v>
      </c>
      <c r="E54" s="172">
        <v>1</v>
      </c>
      <c r="J54" s="172">
        <f aca="true" t="shared" si="3" ref="J54:O54">SUM(J44:J53)</f>
        <v>300</v>
      </c>
      <c r="K54" s="172">
        <f t="shared" si="3"/>
        <v>212500</v>
      </c>
      <c r="L54" s="172">
        <f t="shared" si="3"/>
        <v>63670</v>
      </c>
      <c r="M54" s="172">
        <f t="shared" si="3"/>
        <v>42500</v>
      </c>
      <c r="N54" s="172">
        <f t="shared" si="3"/>
        <v>450</v>
      </c>
      <c r="O54" s="172">
        <f t="shared" si="3"/>
        <v>900</v>
      </c>
      <c r="Q54" s="172">
        <f>SUM(Q44:Q53)</f>
        <v>320020</v>
      </c>
    </row>
    <row r="55" spans="2:4" ht="12.75">
      <c r="B55" s="201" t="s">
        <v>228</v>
      </c>
      <c r="C55" s="201"/>
      <c r="D55" s="201"/>
    </row>
    <row r="56" spans="2:12" ht="12.75">
      <c r="B56" s="201" t="s">
        <v>229</v>
      </c>
      <c r="C56" s="201"/>
      <c r="D56" s="201"/>
      <c r="E56" s="172" t="str">
        <f>INDEX(B54:B61,E54)</f>
        <v>Seconday Grade Teacher</v>
      </c>
      <c r="L56" s="172">
        <f>K54+L54+M54</f>
        <v>318670</v>
      </c>
    </row>
    <row r="57" spans="2:4" ht="12.75">
      <c r="B57" s="201" t="s">
        <v>230</v>
      </c>
      <c r="C57" s="201"/>
      <c r="D57" s="201"/>
    </row>
    <row r="58" spans="2:4" ht="12.75">
      <c r="B58" s="201" t="s">
        <v>231</v>
      </c>
      <c r="C58" s="201"/>
      <c r="D58" s="201"/>
    </row>
    <row r="59" spans="2:4" ht="12.75">
      <c r="B59" s="201" t="s">
        <v>232</v>
      </c>
      <c r="C59" s="201"/>
      <c r="D59" s="201"/>
    </row>
    <row r="60" spans="2:4" ht="12.75">
      <c r="B60" s="201" t="s">
        <v>233</v>
      </c>
      <c r="C60" s="201"/>
      <c r="D60" s="201"/>
    </row>
    <row r="61" spans="2:4" ht="12.75">
      <c r="B61" s="201" t="s">
        <v>234</v>
      </c>
      <c r="C61" s="201"/>
      <c r="D61" s="201"/>
    </row>
    <row r="62" spans="2:7" ht="12.75">
      <c r="B62" s="172">
        <v>1</v>
      </c>
      <c r="C62" s="172">
        <v>30</v>
      </c>
      <c r="D62" s="172" t="s">
        <v>235</v>
      </c>
      <c r="E62" s="172">
        <v>31</v>
      </c>
      <c r="F62" s="172">
        <v>2010</v>
      </c>
      <c r="G62" s="172">
        <v>4</v>
      </c>
    </row>
    <row r="63" spans="2:7" ht="12.75">
      <c r="B63" s="172">
        <v>2</v>
      </c>
      <c r="D63" s="172" t="s">
        <v>236</v>
      </c>
      <c r="E63" s="172">
        <v>28</v>
      </c>
      <c r="F63" s="172">
        <v>2011</v>
      </c>
      <c r="G63" s="172">
        <f>INDEX(F62:F66,G62)</f>
        <v>2013</v>
      </c>
    </row>
    <row r="64" spans="2:6" ht="12.75">
      <c r="B64" s="172">
        <v>3</v>
      </c>
      <c r="D64" s="172" t="s">
        <v>237</v>
      </c>
      <c r="E64" s="172">
        <v>31</v>
      </c>
      <c r="F64" s="172">
        <v>2012</v>
      </c>
    </row>
    <row r="65" spans="2:7" ht="12.75">
      <c r="B65" s="172">
        <v>4</v>
      </c>
      <c r="D65" s="172" t="s">
        <v>238</v>
      </c>
      <c r="E65" s="172">
        <v>30</v>
      </c>
      <c r="F65" s="172">
        <v>2013</v>
      </c>
      <c r="G65" s="172" t="str">
        <f>CONCATENATE(C62,".",F74,".",G63)</f>
        <v>30.7.2013</v>
      </c>
    </row>
    <row r="66" spans="2:6" ht="12.75">
      <c r="B66" s="172">
        <v>5</v>
      </c>
      <c r="D66" s="172" t="s">
        <v>239</v>
      </c>
      <c r="E66" s="172">
        <v>31</v>
      </c>
      <c r="F66" s="172">
        <v>2014</v>
      </c>
    </row>
    <row r="67" spans="2:5" ht="12.75">
      <c r="B67" s="172">
        <v>6</v>
      </c>
      <c r="D67" s="172" t="s">
        <v>240</v>
      </c>
      <c r="E67" s="172">
        <v>30</v>
      </c>
    </row>
    <row r="68" spans="2:5" ht="12.75">
      <c r="B68" s="172">
        <v>7</v>
      </c>
      <c r="D68" s="172" t="s">
        <v>241</v>
      </c>
      <c r="E68" s="172">
        <v>31</v>
      </c>
    </row>
    <row r="69" spans="2:5" ht="12.75">
      <c r="B69" s="172">
        <v>8</v>
      </c>
      <c r="D69" s="172" t="s">
        <v>242</v>
      </c>
      <c r="E69" s="172">
        <v>31</v>
      </c>
    </row>
    <row r="70" spans="2:5" ht="12.75">
      <c r="B70" s="172">
        <v>9</v>
      </c>
      <c r="D70" s="172" t="s">
        <v>245</v>
      </c>
      <c r="E70" s="172">
        <v>30</v>
      </c>
    </row>
    <row r="71" spans="2:5" ht="12.75">
      <c r="B71" s="172">
        <v>10</v>
      </c>
      <c r="D71" s="172" t="s">
        <v>246</v>
      </c>
      <c r="E71" s="172">
        <v>31</v>
      </c>
    </row>
    <row r="72" spans="2:5" ht="12.75">
      <c r="B72" s="172">
        <v>11</v>
      </c>
      <c r="D72" s="172" t="s">
        <v>243</v>
      </c>
      <c r="E72" s="172">
        <v>30</v>
      </c>
    </row>
    <row r="73" spans="2:5" ht="12.75">
      <c r="B73" s="172">
        <v>12</v>
      </c>
      <c r="D73" s="172" t="s">
        <v>244</v>
      </c>
      <c r="E73" s="172">
        <v>31</v>
      </c>
    </row>
    <row r="74" spans="2:6" ht="15.75">
      <c r="B74" s="172">
        <v>13</v>
      </c>
      <c r="D74" s="178">
        <v>7100</v>
      </c>
      <c r="E74" s="172">
        <v>40</v>
      </c>
      <c r="F74" s="172">
        <v>7</v>
      </c>
    </row>
    <row r="75" spans="2:4" ht="15.75">
      <c r="B75" s="172">
        <v>14</v>
      </c>
      <c r="D75" s="178">
        <v>7300</v>
      </c>
    </row>
    <row r="76" spans="2:6" ht="15.75">
      <c r="B76" s="172">
        <v>15</v>
      </c>
      <c r="D76" s="178">
        <v>7520</v>
      </c>
      <c r="F76" s="172">
        <f>IF(F74=1,30,IF(F74=2,28,IF(F74=3,E64,IF(F74=4,30,IF(F74=5,31,IF(F74=6,30,IF(F74=7,31)))))))</f>
        <v>31</v>
      </c>
    </row>
    <row r="77" spans="2:6" ht="15.75">
      <c r="B77" s="172">
        <v>16</v>
      </c>
      <c r="D77" s="178">
        <v>7740</v>
      </c>
      <c r="F77" s="172">
        <f>IF(F74=8,31,IF(F74=9,30,IF(F74=10,31,IF(F74=11,30,IF(F74=12,31,F76)))))</f>
        <v>31</v>
      </c>
    </row>
    <row r="78" spans="2:6" ht="15.75">
      <c r="B78" s="172">
        <v>17</v>
      </c>
      <c r="D78" s="178">
        <v>7960</v>
      </c>
      <c r="F78" s="172">
        <v>10</v>
      </c>
    </row>
    <row r="79" spans="2:7" ht="15.75">
      <c r="B79" s="172">
        <v>18</v>
      </c>
      <c r="D79" s="178">
        <v>8200</v>
      </c>
      <c r="F79" s="172">
        <v>12</v>
      </c>
      <c r="G79" s="172">
        <v>4</v>
      </c>
    </row>
    <row r="80" spans="2:7" ht="15.75">
      <c r="B80" s="172">
        <v>19</v>
      </c>
      <c r="D80" s="178">
        <v>8440</v>
      </c>
      <c r="F80" s="172">
        <v>12.5</v>
      </c>
      <c r="G80" s="172">
        <f>INDEX(F78:F83,G79)</f>
        <v>20</v>
      </c>
    </row>
    <row r="81" spans="2:6" ht="15.75">
      <c r="B81" s="172">
        <v>20</v>
      </c>
      <c r="D81" s="178">
        <v>8680</v>
      </c>
      <c r="F81" s="172">
        <v>20</v>
      </c>
    </row>
    <row r="82" spans="2:6" ht="15.75">
      <c r="B82" s="172">
        <v>21</v>
      </c>
      <c r="D82" s="178">
        <v>8940</v>
      </c>
      <c r="F82" s="172">
        <v>14.5</v>
      </c>
    </row>
    <row r="83" spans="2:6" ht="16.5" thickBot="1">
      <c r="B83" s="172">
        <v>22</v>
      </c>
      <c r="D83" s="178">
        <v>9200</v>
      </c>
      <c r="F83" s="172">
        <v>30</v>
      </c>
    </row>
    <row r="84" spans="2:8" ht="17.25" thickBot="1" thickTop="1">
      <c r="B84" s="172">
        <v>23</v>
      </c>
      <c r="D84" s="178">
        <v>9460</v>
      </c>
      <c r="F84" s="197" t="str">
        <f>INDEX(F86:F89,F90)</f>
        <v>Mandal Educational Officer</v>
      </c>
      <c r="G84" s="198"/>
      <c r="H84" s="199"/>
    </row>
    <row r="85" spans="2:4" ht="16.5" thickTop="1">
      <c r="B85" s="172">
        <v>24</v>
      </c>
      <c r="D85" s="178">
        <v>9740</v>
      </c>
    </row>
    <row r="86" spans="2:9" ht="15.75">
      <c r="B86" s="172">
        <v>25</v>
      </c>
      <c r="D86" s="178">
        <v>10020</v>
      </c>
      <c r="F86" s="201" t="s">
        <v>10</v>
      </c>
      <c r="G86" s="201"/>
      <c r="H86" s="201"/>
      <c r="I86" s="201"/>
    </row>
    <row r="87" spans="2:9" ht="15.75">
      <c r="B87" s="172">
        <v>26</v>
      </c>
      <c r="D87" s="178">
        <v>10300</v>
      </c>
      <c r="F87" s="201" t="s">
        <v>266</v>
      </c>
      <c r="G87" s="201"/>
      <c r="H87" s="201"/>
      <c r="I87" s="201"/>
    </row>
    <row r="88" spans="2:9" ht="15.75">
      <c r="B88" s="172">
        <v>27</v>
      </c>
      <c r="D88" s="178">
        <v>10600</v>
      </c>
      <c r="F88" s="201" t="s">
        <v>324</v>
      </c>
      <c r="G88" s="201"/>
      <c r="H88" s="201"/>
      <c r="I88" s="201"/>
    </row>
    <row r="89" spans="2:9" ht="15.75">
      <c r="B89" s="172">
        <v>28</v>
      </c>
      <c r="D89" s="178">
        <v>10900</v>
      </c>
      <c r="F89" s="201" t="s">
        <v>267</v>
      </c>
      <c r="G89" s="201"/>
      <c r="H89" s="201"/>
      <c r="I89" s="201"/>
    </row>
    <row r="90" spans="2:6" ht="16.5" thickBot="1">
      <c r="B90" s="172">
        <v>29</v>
      </c>
      <c r="D90" s="178">
        <v>11200</v>
      </c>
      <c r="F90" s="172">
        <v>1</v>
      </c>
    </row>
    <row r="91" spans="2:8" ht="17.25" thickBot="1" thickTop="1">
      <c r="B91" s="172">
        <v>30</v>
      </c>
      <c r="D91" s="178">
        <v>11530</v>
      </c>
      <c r="F91" s="205" t="str">
        <f>F100</f>
        <v>MP.PS .Tekmal</v>
      </c>
      <c r="G91" s="206"/>
      <c r="H91" s="196"/>
    </row>
    <row r="92" spans="2:8" ht="17.25" thickBot="1" thickTop="1">
      <c r="B92" s="172">
        <v>31</v>
      </c>
      <c r="D92" s="178">
        <v>11860</v>
      </c>
      <c r="F92" s="202" t="s">
        <v>268</v>
      </c>
      <c r="G92" s="202"/>
      <c r="H92" s="202"/>
    </row>
    <row r="93" spans="4:8" ht="17.25" thickBot="1" thickTop="1">
      <c r="D93" s="178">
        <v>12190</v>
      </c>
      <c r="F93" s="202" t="s">
        <v>269</v>
      </c>
      <c r="G93" s="202"/>
      <c r="H93" s="202"/>
    </row>
    <row r="94" spans="4:8" ht="17.25" thickBot="1" thickTop="1">
      <c r="D94" s="178">
        <v>12550</v>
      </c>
      <c r="F94" s="202" t="s">
        <v>270</v>
      </c>
      <c r="G94" s="202"/>
      <c r="H94" s="202"/>
    </row>
    <row r="95" spans="4:8" ht="17.25" thickBot="1" thickTop="1">
      <c r="D95" s="178">
        <v>12910</v>
      </c>
      <c r="F95" s="202" t="s">
        <v>271</v>
      </c>
      <c r="G95" s="202"/>
      <c r="H95" s="202"/>
    </row>
    <row r="96" spans="4:8" ht="16.5" thickTop="1">
      <c r="D96" s="178">
        <v>13270</v>
      </c>
      <c r="F96" s="202" t="s">
        <v>272</v>
      </c>
      <c r="G96" s="202"/>
      <c r="H96" s="202"/>
    </row>
    <row r="97" spans="4:8" ht="15.75">
      <c r="D97" s="178">
        <v>13660</v>
      </c>
      <c r="F97" s="201" t="s">
        <v>273</v>
      </c>
      <c r="G97" s="201"/>
      <c r="H97" s="201"/>
    </row>
    <row r="98" spans="4:6" ht="15.75">
      <c r="D98" s="178">
        <v>14050</v>
      </c>
      <c r="F98" s="172">
        <v>1</v>
      </c>
    </row>
    <row r="99" spans="4:9" ht="15.75">
      <c r="D99" s="178">
        <v>14440</v>
      </c>
      <c r="F99" s="172" t="str">
        <f>INDEX(F92:F97,F98)</f>
        <v>MP.PS</v>
      </c>
      <c r="H99" s="172" t="s">
        <v>274</v>
      </c>
      <c r="I99" s="172" t="s">
        <v>275</v>
      </c>
    </row>
    <row r="100" spans="4:8" ht="15.75">
      <c r="D100" s="178">
        <v>14860</v>
      </c>
      <c r="F100" s="201" t="str">
        <f>CONCATENATE(F99," .",Data!E6)</f>
        <v>MP.PS .Tekmal</v>
      </c>
      <c r="G100" s="201"/>
      <c r="H100" s="201"/>
    </row>
    <row r="101" spans="4:8" ht="15.75">
      <c r="D101" s="178">
        <v>15280</v>
      </c>
      <c r="F101" s="172" t="str">
        <f>IF(F98=1,H99,IF(F98=2,H99,IF(F98=3,I99,IF(F98=4,H99,IF(F98=5,H99,IF(F98=6,I99))))))</f>
        <v>Ele.Edn</v>
      </c>
      <c r="H101" s="172" t="s">
        <v>276</v>
      </c>
    </row>
    <row r="102" spans="4:8" ht="15.75">
      <c r="D102" s="178">
        <v>15700</v>
      </c>
      <c r="H102" s="172" t="s">
        <v>277</v>
      </c>
    </row>
    <row r="103" spans="4:8" ht="15.75">
      <c r="D103" s="178">
        <v>16150</v>
      </c>
      <c r="F103" s="172" t="str">
        <f>IF(F98=1,H103,IF(F98=2,H103,IF(F98=3,H104,IF(F98=4,H101,IF(F98=5,H101,IF(F98=6,H102))))))</f>
        <v>Assistance to Local Bodies fro Primary Eucation</v>
      </c>
      <c r="H103" s="172" t="s">
        <v>278</v>
      </c>
    </row>
    <row r="104" spans="4:8" ht="15.75">
      <c r="D104" s="178">
        <v>16600</v>
      </c>
      <c r="H104" s="172" t="s">
        <v>279</v>
      </c>
    </row>
    <row r="105" spans="4:8" ht="15.75">
      <c r="D105" s="178">
        <v>17050</v>
      </c>
      <c r="H105" s="172" t="s">
        <v>281</v>
      </c>
    </row>
    <row r="106" spans="4:8" ht="15.75">
      <c r="D106" s="178">
        <v>17540</v>
      </c>
      <c r="F106" s="172" t="str">
        <f>IF(F98=1,H105,IF(F98=2,H105,IF(F98=3,H106,IF(F98=4,H101,IF(F98=5,H101,IF(F98=6,H102))))))</f>
        <v>Teaching Grants to MPP,s</v>
      </c>
      <c r="H106" s="172" t="s">
        <v>282</v>
      </c>
    </row>
    <row r="107" ht="15.75">
      <c r="D107" s="178">
        <v>18030</v>
      </c>
    </row>
    <row r="108" ht="15.75">
      <c r="D108" s="178">
        <v>18520</v>
      </c>
    </row>
    <row r="109" ht="15.75">
      <c r="D109" s="178">
        <v>19050</v>
      </c>
    </row>
    <row r="110" ht="15.75">
      <c r="D110" s="178">
        <v>19580</v>
      </c>
    </row>
    <row r="111" ht="15.75">
      <c r="D111" s="179">
        <v>20110</v>
      </c>
    </row>
    <row r="112" spans="4:12" ht="17.25">
      <c r="D112" s="180">
        <v>20680</v>
      </c>
      <c r="K112" s="172" t="s">
        <v>2</v>
      </c>
      <c r="L112" s="172">
        <v>1</v>
      </c>
    </row>
    <row r="113" spans="4:15" ht="17.25">
      <c r="D113" s="180">
        <v>21250</v>
      </c>
      <c r="K113" s="172" t="s">
        <v>3</v>
      </c>
      <c r="L113" s="172" t="str">
        <f>INDEX(K112:K113,L112)</f>
        <v>Sri</v>
      </c>
      <c r="M113" s="172" t="str">
        <f>IF(L112=1,"he","she")</f>
        <v>he</v>
      </c>
      <c r="N113" s="172" t="str">
        <f>IF(L112=1,"his","her")</f>
        <v>his</v>
      </c>
      <c r="O113" s="172" t="str">
        <f>IF(L112,"him","her")</f>
        <v>him</v>
      </c>
    </row>
    <row r="114" ht="17.25">
      <c r="D114" s="180">
        <v>21820</v>
      </c>
    </row>
    <row r="115" spans="4:9" ht="17.25">
      <c r="D115" s="180">
        <v>22430</v>
      </c>
      <c r="H115" s="172">
        <f>Sheet1!G80</f>
        <v>20</v>
      </c>
      <c r="I115" s="172">
        <f>Data!F12</f>
        <v>29.96</v>
      </c>
    </row>
    <row r="116" spans="4:13" ht="17.25">
      <c r="D116" s="180">
        <v>23040</v>
      </c>
      <c r="G116" s="172">
        <f>INDEX(Sheet1!D74:D151,Sheet1!E74)</f>
        <v>21250</v>
      </c>
      <c r="H116" s="172">
        <f>ROUND(G116*H115%,0)</f>
        <v>4250</v>
      </c>
      <c r="I116" s="172">
        <f>ROUND(G116*I115%,0)</f>
        <v>6367</v>
      </c>
      <c r="K116" s="172">
        <f>Data!D9+Data!D10</f>
        <v>300</v>
      </c>
      <c r="L116" s="172">
        <f>IF(K116&lt;300,Data!D10,M116)</f>
        <v>0</v>
      </c>
      <c r="M116" s="172">
        <f>300-Data!D9</f>
        <v>0</v>
      </c>
    </row>
    <row r="117" spans="4:12" ht="17.25">
      <c r="D117" s="180">
        <v>23650</v>
      </c>
      <c r="G117" s="172">
        <f>ROUND(P126,0)</f>
        <v>0</v>
      </c>
      <c r="H117" s="172">
        <f>ROUND(G117*H115%,0)</f>
        <v>0</v>
      </c>
      <c r="I117" s="172">
        <f>ROUND(G117*I115%,0)</f>
        <v>0</v>
      </c>
      <c r="K117" s="172">
        <f>IF(K116&gt;300,L116,Data!D10)</f>
        <v>0</v>
      </c>
      <c r="L117" s="172">
        <f>IF(K116&lt;=300,Data!D10,L116)</f>
        <v>0</v>
      </c>
    </row>
    <row r="118" spans="4:15" ht="17.25">
      <c r="D118" s="180">
        <v>24300</v>
      </c>
      <c r="G118" s="172">
        <f>H122</f>
        <v>10625</v>
      </c>
      <c r="I118" s="172">
        <f>ROUND(G118*I115%,0)</f>
        <v>3183</v>
      </c>
      <c r="K118" s="172">
        <f>Data!D9</f>
        <v>300</v>
      </c>
      <c r="L118" s="172">
        <f>IF(K118&lt;30,K118,IF(K118&gt;=30,K118-30))</f>
        <v>270</v>
      </c>
      <c r="M118" s="172">
        <f>IF(K118&lt;30,K118,IF(K118&gt;=30,30))</f>
        <v>30</v>
      </c>
      <c r="N118" s="172">
        <f>IF(M118=30,1,0)</f>
        <v>1</v>
      </c>
      <c r="O118" s="172">
        <f>IF(M118&lt;30,M118,0)</f>
        <v>0</v>
      </c>
    </row>
    <row r="119" spans="4:15" ht="17.25">
      <c r="D119" s="180">
        <v>24950</v>
      </c>
      <c r="L119" s="172">
        <f>IF(K118&lt;30,0,IF(L118&lt;30,L118,IF(L118&gt;=30,L118-30)))</f>
        <v>240</v>
      </c>
      <c r="M119" s="172">
        <f>IF(L118&gt;=30,30,L119)</f>
        <v>30</v>
      </c>
      <c r="N119" s="172">
        <f>IF(M119=30,1,0)</f>
        <v>1</v>
      </c>
      <c r="O119" s="172">
        <f>IF(M119&lt;30,M119,0)</f>
        <v>0</v>
      </c>
    </row>
    <row r="120" spans="4:15" ht="17.25">
      <c r="D120" s="181">
        <v>25600</v>
      </c>
      <c r="L120" s="172">
        <f aca="true" t="shared" si="4" ref="L120:L125">IF(L119&gt;30,L119-30,0)</f>
        <v>210</v>
      </c>
      <c r="M120" s="172">
        <f>IF(M119&lt;30,0,IF(L119&lt;30,L119,IF(L119&gt;30,30,L119)))</f>
        <v>30</v>
      </c>
      <c r="N120" s="172">
        <f>IF(M120=30,1,0)</f>
        <v>1</v>
      </c>
      <c r="O120" s="172">
        <f>IF(M120&lt;30,M120,0)</f>
        <v>0</v>
      </c>
    </row>
    <row r="121" spans="4:15" ht="17.25">
      <c r="D121" s="180">
        <v>26300</v>
      </c>
      <c r="L121" s="172">
        <f t="shared" si="4"/>
        <v>180</v>
      </c>
      <c r="M121" s="172">
        <f aca="true" t="shared" si="5" ref="M121:M126">IF(L120&gt;30,30,L120)</f>
        <v>30</v>
      </c>
      <c r="N121" s="172">
        <f>IF(M121=30,1,0)</f>
        <v>1</v>
      </c>
      <c r="O121" s="172">
        <f>IF(M121&lt;30,M121,0)</f>
        <v>0</v>
      </c>
    </row>
    <row r="122" spans="4:15" ht="17.25">
      <c r="D122" s="180">
        <v>27000</v>
      </c>
      <c r="H122" s="172">
        <f>G116/2</f>
        <v>10625</v>
      </c>
      <c r="L122" s="172">
        <f t="shared" si="4"/>
        <v>150</v>
      </c>
      <c r="M122" s="172">
        <f t="shared" si="5"/>
        <v>30</v>
      </c>
      <c r="N122" s="172">
        <f>IF(M122=30,1,0)</f>
        <v>1</v>
      </c>
      <c r="O122" s="172">
        <f>IF(M122&lt;30,M122,0)</f>
        <v>0</v>
      </c>
    </row>
    <row r="123" spans="4:15" ht="17.25">
      <c r="D123" s="180">
        <v>27700</v>
      </c>
      <c r="L123" s="172">
        <f t="shared" si="4"/>
        <v>120</v>
      </c>
      <c r="M123" s="172">
        <f t="shared" si="5"/>
        <v>30</v>
      </c>
      <c r="N123" s="172">
        <f>IF(M123&gt;=30,1,0)</f>
        <v>1</v>
      </c>
      <c r="O123" s="172">
        <f>IF(M123&gt;30,M123-30,0)</f>
        <v>0</v>
      </c>
    </row>
    <row r="124" spans="4:15" ht="17.25">
      <c r="D124" s="180">
        <v>28450</v>
      </c>
      <c r="L124" s="172">
        <f t="shared" si="4"/>
        <v>90</v>
      </c>
      <c r="M124" s="172">
        <f t="shared" si="5"/>
        <v>30</v>
      </c>
      <c r="N124" s="172">
        <f>IF(M124=30,1,0)</f>
        <v>1</v>
      </c>
      <c r="O124" s="172">
        <f>IF(M124&lt;30,M124,0)</f>
        <v>0</v>
      </c>
    </row>
    <row r="125" spans="4:17" ht="17.25">
      <c r="D125" s="180">
        <v>29200</v>
      </c>
      <c r="H125" s="182">
        <f>H122</f>
        <v>10625</v>
      </c>
      <c r="I125" s="172">
        <f>I118</f>
        <v>3183</v>
      </c>
      <c r="J125" s="172">
        <f>SUM(H125:I125)</f>
        <v>13808</v>
      </c>
      <c r="L125" s="172">
        <f t="shared" si="4"/>
        <v>60</v>
      </c>
      <c r="M125" s="172">
        <f t="shared" si="5"/>
        <v>30</v>
      </c>
      <c r="N125" s="172">
        <f>IF(M125=30,1,0)</f>
        <v>1</v>
      </c>
      <c r="O125" s="172">
        <f>IF(M125&lt;30,M125,0)</f>
        <v>0</v>
      </c>
      <c r="P125" s="172">
        <f>O128/Sheet1!F77</f>
        <v>0</v>
      </c>
      <c r="Q125" s="172">
        <f>O125/Sheet1!F77</f>
        <v>0</v>
      </c>
    </row>
    <row r="126" spans="4:16" ht="17.25">
      <c r="D126" s="180">
        <v>29950</v>
      </c>
      <c r="H126" s="174"/>
      <c r="M126" s="172">
        <f t="shared" si="5"/>
        <v>30</v>
      </c>
      <c r="N126" s="172">
        <f>IF(M126=30,1,0)</f>
        <v>1</v>
      </c>
      <c r="O126" s="172">
        <f>IF(M126&lt;30,M126,0)</f>
        <v>0</v>
      </c>
      <c r="P126" s="172">
        <f>G116*P125</f>
        <v>0</v>
      </c>
    </row>
    <row r="127" spans="4:15" ht="17.25">
      <c r="D127" s="180">
        <v>30750</v>
      </c>
      <c r="H127" s="192" t="str">
        <f>CONCATENATE(H125,"  +  ",I125)</f>
        <v>10625  +  3183</v>
      </c>
      <c r="I127" s="192"/>
      <c r="O127" s="172">
        <f>IF(M127&lt;30,M127,0)</f>
        <v>0</v>
      </c>
    </row>
    <row r="128" spans="4:17" ht="17.25">
      <c r="D128" s="181">
        <v>31550</v>
      </c>
      <c r="H128" s="192">
        <v>30</v>
      </c>
      <c r="I128" s="192"/>
      <c r="J128" s="172">
        <f>J125/30</f>
        <v>460.26666666666665</v>
      </c>
      <c r="N128" s="172">
        <f>IF(N125=1,30,IF(N125=2,60,IF(N125=3,90,IF(N125=4,120,IF(N125=5,150,IF(N125=6,180,IF(N125=7,210,"")))))))</f>
        <v>30</v>
      </c>
      <c r="O128" s="172">
        <f>SUM(O118:O127)</f>
        <v>0</v>
      </c>
      <c r="P128" s="172">
        <f>Data!G13</f>
        <v>45</v>
      </c>
      <c r="Q128" s="172">
        <f>IF(P125=0,P128,ROUND(P128*P125,0))</f>
        <v>45</v>
      </c>
    </row>
    <row r="129" spans="4:17" ht="17.25">
      <c r="D129" s="180">
        <v>32350</v>
      </c>
      <c r="J129" s="183">
        <f>ROUND(J128*L116,0)</f>
        <v>0</v>
      </c>
      <c r="N129" s="172" t="str">
        <f>CONCATENATE(N128," ","Days")</f>
        <v>30 Days</v>
      </c>
      <c r="P129" s="172">
        <f>Data!G14</f>
        <v>90</v>
      </c>
      <c r="Q129" s="172">
        <f>IF(P125=0,P129,ROUND(P129*P125,0))</f>
        <v>90</v>
      </c>
    </row>
    <row r="130" ht="17.25">
      <c r="D130" s="180">
        <v>33200</v>
      </c>
    </row>
    <row r="131" ht="17.25">
      <c r="D131" s="180">
        <v>34050</v>
      </c>
    </row>
    <row r="132" ht="17.25">
      <c r="D132" s="180">
        <v>34900</v>
      </c>
    </row>
    <row r="133" ht="17.25">
      <c r="D133" s="180">
        <v>35800</v>
      </c>
    </row>
    <row r="134" ht="17.25">
      <c r="D134" s="181">
        <v>36700</v>
      </c>
    </row>
    <row r="135" ht="17.25">
      <c r="D135" s="180">
        <v>37600</v>
      </c>
    </row>
    <row r="136" ht="17.25">
      <c r="D136" s="180">
        <v>38570</v>
      </c>
    </row>
    <row r="137" ht="17.25">
      <c r="D137" s="180">
        <v>39540</v>
      </c>
    </row>
    <row r="138" ht="17.25">
      <c r="D138" s="180">
        <v>40510</v>
      </c>
    </row>
    <row r="139" ht="17.25">
      <c r="D139" s="180">
        <v>41550</v>
      </c>
    </row>
    <row r="140" ht="17.25">
      <c r="D140" s="181">
        <v>42550</v>
      </c>
    </row>
    <row r="141" ht="17.25">
      <c r="D141" s="180">
        <v>43630</v>
      </c>
    </row>
    <row r="142" ht="17.25">
      <c r="D142" s="180">
        <v>44740</v>
      </c>
    </row>
    <row r="143" ht="17.25">
      <c r="D143" s="180">
        <v>45850</v>
      </c>
    </row>
    <row r="144" ht="17.25">
      <c r="D144" s="180">
        <v>46960</v>
      </c>
    </row>
    <row r="145" ht="17.25">
      <c r="D145" s="180">
        <v>48160</v>
      </c>
    </row>
    <row r="146" ht="17.25">
      <c r="D146" s="180">
        <v>49360</v>
      </c>
    </row>
    <row r="147" ht="17.25">
      <c r="D147" s="180">
        <v>50560</v>
      </c>
    </row>
    <row r="148" ht="17.25">
      <c r="D148" s="180">
        <v>51760</v>
      </c>
    </row>
    <row r="149" ht="17.25">
      <c r="D149" s="180">
        <v>53060</v>
      </c>
    </row>
    <row r="150" ht="17.25">
      <c r="D150" s="181">
        <v>54360</v>
      </c>
    </row>
    <row r="151" ht="17.25">
      <c r="D151" s="184">
        <v>55660</v>
      </c>
    </row>
    <row r="155" spans="3:10" ht="12.75">
      <c r="C155" s="172" t="s">
        <v>0</v>
      </c>
      <c r="D155" s="201" t="s">
        <v>329</v>
      </c>
      <c r="E155" s="201"/>
      <c r="F155" s="201"/>
      <c r="G155" s="201"/>
      <c r="H155" s="201"/>
      <c r="I155" s="201"/>
      <c r="J155" s="201"/>
    </row>
    <row r="156" spans="4:10" ht="12.75">
      <c r="D156" s="203" t="s">
        <v>327</v>
      </c>
      <c r="E156" s="203"/>
      <c r="F156" s="203"/>
      <c r="G156" s="203"/>
      <c r="H156" s="203"/>
      <c r="I156" s="203"/>
      <c r="J156" s="203"/>
    </row>
    <row r="157" spans="4:10" ht="12.75">
      <c r="D157" s="204" t="str">
        <f>CONCATENATE(D155," ",L113," ",Data!E4,",",E56," ",Sheet1!F91,"-"," ",D156)</f>
        <v>Leave Rules-Recommendation of RPS-2010 Encashment  of Half Pay Leave in respect of Sri R.Ramesh,Seconday Grade Teacher MP.PS .Tekmal- Sanction Orders - Issued.</v>
      </c>
      <c r="E157" s="204"/>
      <c r="F157" s="204"/>
      <c r="G157" s="204"/>
      <c r="H157" s="204"/>
      <c r="I157" s="204"/>
      <c r="J157" s="204"/>
    </row>
    <row r="158" spans="4:10" ht="12.75">
      <c r="D158" s="204"/>
      <c r="E158" s="204"/>
      <c r="F158" s="204"/>
      <c r="G158" s="204"/>
      <c r="H158" s="204"/>
      <c r="I158" s="204"/>
      <c r="J158" s="204"/>
    </row>
    <row r="159" spans="4:10" ht="12.75">
      <c r="D159" s="204"/>
      <c r="E159" s="204"/>
      <c r="F159" s="204"/>
      <c r="G159" s="204"/>
      <c r="H159" s="204"/>
      <c r="I159" s="204"/>
      <c r="J159" s="204"/>
    </row>
    <row r="160" spans="4:10" ht="12.75">
      <c r="D160" s="204"/>
      <c r="E160" s="204"/>
      <c r="F160" s="204"/>
      <c r="G160" s="204"/>
      <c r="H160" s="204"/>
      <c r="I160" s="204"/>
      <c r="J160" s="204"/>
    </row>
    <row r="161" spans="4:10" ht="12.75">
      <c r="D161" s="204"/>
      <c r="E161" s="204"/>
      <c r="F161" s="204"/>
      <c r="G161" s="204"/>
      <c r="H161" s="204"/>
      <c r="I161" s="204"/>
      <c r="J161" s="204"/>
    </row>
    <row r="164" spans="3:10" ht="12.75">
      <c r="C164" s="200" t="str">
        <f>CONCATENATE(L113," ",Data!E4,",",E56,",",F91," ","has retired from his Govt.service due to Superannuation. ",H65," ",M113,"","  has put in"," ",Data!F9,"","Years ","approved and Pensionable Sevice. "," ",M113," has put ",Data!D10," ","Days Half Pay Leaves Credit as on the date of ","",N113,""," retirement. ",C184)</f>
        <v>Sri R.Ramesh,Seconday Grade Teacher,MP.PS .Tekmal has retired from his Govt.service due to Superannuation.  he  has put in 58Years approved and Pensionable Sevice.  he has put 0 Days Half Pay Leaves Credit as on the date of his retirement. hewas encashed 300Days Earned Leaves and got the Consequent benefits as per rules</v>
      </c>
      <c r="D164" s="200"/>
      <c r="E164" s="200"/>
      <c r="F164" s="200"/>
      <c r="G164" s="200"/>
      <c r="H164" s="200"/>
      <c r="I164" s="200"/>
      <c r="J164" s="200"/>
    </row>
    <row r="165" spans="3:10" ht="12.75">
      <c r="C165" s="200"/>
      <c r="D165" s="200"/>
      <c r="E165" s="200"/>
      <c r="F165" s="200"/>
      <c r="G165" s="200"/>
      <c r="H165" s="200"/>
      <c r="I165" s="200"/>
      <c r="J165" s="200"/>
    </row>
    <row r="166" spans="3:10" ht="12.75">
      <c r="C166" s="200"/>
      <c r="D166" s="200"/>
      <c r="E166" s="200"/>
      <c r="F166" s="200"/>
      <c r="G166" s="200"/>
      <c r="H166" s="200"/>
      <c r="I166" s="200"/>
      <c r="J166" s="200"/>
    </row>
    <row r="167" spans="3:10" ht="12.75">
      <c r="C167" s="200"/>
      <c r="D167" s="200"/>
      <c r="E167" s="200"/>
      <c r="F167" s="200"/>
      <c r="G167" s="200"/>
      <c r="H167" s="200"/>
      <c r="I167" s="200"/>
      <c r="J167" s="200"/>
    </row>
    <row r="168" spans="3:10" ht="12.75">
      <c r="C168" s="200"/>
      <c r="D168" s="200"/>
      <c r="E168" s="200"/>
      <c r="F168" s="200"/>
      <c r="G168" s="200"/>
      <c r="H168" s="200"/>
      <c r="I168" s="200"/>
      <c r="J168" s="200"/>
    </row>
    <row r="169" spans="3:10" ht="12.75">
      <c r="C169" s="200"/>
      <c r="D169" s="200"/>
      <c r="E169" s="200"/>
      <c r="F169" s="200"/>
      <c r="G169" s="200"/>
      <c r="H169" s="200"/>
      <c r="I169" s="200"/>
      <c r="J169" s="200"/>
    </row>
    <row r="170" spans="3:10" ht="12.75">
      <c r="C170" s="200"/>
      <c r="D170" s="200"/>
      <c r="E170" s="200"/>
      <c r="F170" s="200"/>
      <c r="G170" s="200"/>
      <c r="H170" s="200"/>
      <c r="I170" s="200"/>
      <c r="J170" s="200"/>
    </row>
    <row r="171" spans="3:14" ht="12.75">
      <c r="C171" s="200"/>
      <c r="D171" s="200"/>
      <c r="E171" s="200"/>
      <c r="F171" s="200"/>
      <c r="G171" s="200"/>
      <c r="H171" s="200"/>
      <c r="I171" s="200"/>
      <c r="J171" s="200"/>
      <c r="M171" s="172" t="s">
        <v>292</v>
      </c>
      <c r="N171" s="172">
        <v>17</v>
      </c>
    </row>
    <row r="172" spans="3:13" ht="12.75">
      <c r="C172" s="200" t="str">
        <f>CONCATENATE("Thus ",M113,"  is eligible for the encashment of Half Pay Leave of ",L117," Days subject to the conditions that ",N113," total no of days of Earned Leave +  leave on Half pay Half Pay put together  shold not exceed 300 days. Hence The ",F84," ",Data!D14," is Pleased to sanction and calculated Half Pay Leaves as per formula given below")</f>
        <v>Thus he  is eligible for the encashment of Half Pay Leave of 0 Days subject to the conditions that his total no of days of Earned Leave +  leave on Half pay Half Pay put together  shold not exceed 300 days. Hence The Mandal Educational Officer M.P.Tekmal is Pleased to sanction and calculated Half Pay Leaves as per formula given below</v>
      </c>
      <c r="D172" s="200"/>
      <c r="E172" s="200"/>
      <c r="F172" s="200"/>
      <c r="G172" s="200"/>
      <c r="H172" s="200"/>
      <c r="I172" s="200"/>
      <c r="J172" s="200"/>
      <c r="M172" s="172" t="s">
        <v>293</v>
      </c>
    </row>
    <row r="173" spans="3:14" ht="12.75">
      <c r="C173" s="200"/>
      <c r="D173" s="200"/>
      <c r="E173" s="200"/>
      <c r="F173" s="200"/>
      <c r="G173" s="200"/>
      <c r="H173" s="200"/>
      <c r="I173" s="200"/>
      <c r="J173" s="200"/>
      <c r="M173" s="172" t="s">
        <v>294</v>
      </c>
      <c r="N173" s="172" t="str">
        <f>INDEX(M171:M201,N171)</f>
        <v>14860-39540</v>
      </c>
    </row>
    <row r="174" spans="3:13" ht="12.75">
      <c r="C174" s="200"/>
      <c r="D174" s="200"/>
      <c r="E174" s="200"/>
      <c r="F174" s="200"/>
      <c r="G174" s="200"/>
      <c r="H174" s="200"/>
      <c r="I174" s="200"/>
      <c r="J174" s="200"/>
      <c r="M174" s="172" t="s">
        <v>295</v>
      </c>
    </row>
    <row r="175" spans="3:13" ht="12.75">
      <c r="C175" s="200"/>
      <c r="D175" s="200"/>
      <c r="E175" s="200"/>
      <c r="F175" s="200"/>
      <c r="G175" s="200"/>
      <c r="H175" s="200"/>
      <c r="I175" s="200"/>
      <c r="J175" s="200"/>
      <c r="M175" s="172" t="s">
        <v>296</v>
      </c>
    </row>
    <row r="176" spans="3:13" ht="12.75">
      <c r="C176" s="200"/>
      <c r="D176" s="200"/>
      <c r="E176" s="200"/>
      <c r="F176" s="200"/>
      <c r="G176" s="200"/>
      <c r="H176" s="200"/>
      <c r="I176" s="200"/>
      <c r="J176" s="200"/>
      <c r="M176" s="172" t="s">
        <v>297</v>
      </c>
    </row>
    <row r="177" spans="2:13" ht="12.75">
      <c r="B177" s="203" t="str">
        <f>CONCATENATE("Proceedings of The"," ",Sheet1!G233," M.P Tekmal")</f>
        <v>Proceedings of The  M.P Tekmal</v>
      </c>
      <c r="C177" s="203"/>
      <c r="D177" s="203"/>
      <c r="E177" s="203"/>
      <c r="F177" s="203"/>
      <c r="G177" s="203"/>
      <c r="H177" s="203"/>
      <c r="I177" s="203"/>
      <c r="J177" s="203"/>
      <c r="M177" s="172" t="s">
        <v>298</v>
      </c>
    </row>
    <row r="178" spans="3:13" ht="12.75">
      <c r="C178" s="200" t="str">
        <f>CONCATENATE("                     ","In View of the above Government Orders The,""",Sheet1!G233," ","Mandal"," ",Data!E157,"is Pleased to Sanction"," ",Data!E159," ","day sancashment of Earned Leave and"," ","",Sheet1!L266," ","Half Pay Leave Salary subject to the condtion that total encashment of EL  +  HPL not exceed 300 days to","  ",Sheet1!M262," ",Data!F154," ","retired",",",Data!E155,",",Sheet1!G240)</f>
        <v>                     In View of the above Government Orders The," Mandal is Pleased to Sanction  day sancashment of Earned Leave and  Half Pay Leave Salary subject to the condtion that total encashment of EL  +  HPL not exceed 300 days to    retired,,</v>
      </c>
      <c r="D178" s="200"/>
      <c r="E178" s="200"/>
      <c r="F178" s="200"/>
      <c r="G178" s="200"/>
      <c r="H178" s="200"/>
      <c r="I178" s="200"/>
      <c r="J178" s="200"/>
      <c r="M178" s="172" t="s">
        <v>299</v>
      </c>
    </row>
    <row r="179" spans="3:13" ht="12.75">
      <c r="C179" s="200"/>
      <c r="D179" s="200"/>
      <c r="E179" s="200"/>
      <c r="F179" s="200"/>
      <c r="G179" s="200"/>
      <c r="H179" s="200"/>
      <c r="I179" s="200"/>
      <c r="J179" s="200"/>
      <c r="M179" s="172" t="s">
        <v>300</v>
      </c>
    </row>
    <row r="180" spans="3:13" ht="12.75">
      <c r="C180" s="200"/>
      <c r="D180" s="200"/>
      <c r="E180" s="200"/>
      <c r="F180" s="200"/>
      <c r="G180" s="200"/>
      <c r="H180" s="200"/>
      <c r="I180" s="200"/>
      <c r="J180" s="200"/>
      <c r="M180" s="172" t="s">
        <v>301</v>
      </c>
    </row>
    <row r="181" spans="3:13" ht="12.75">
      <c r="C181" s="200"/>
      <c r="D181" s="200"/>
      <c r="E181" s="200"/>
      <c r="F181" s="200"/>
      <c r="G181" s="200"/>
      <c r="H181" s="200"/>
      <c r="I181" s="200"/>
      <c r="J181" s="200"/>
      <c r="M181" s="172" t="s">
        <v>302</v>
      </c>
    </row>
    <row r="182" spans="3:13" ht="12.75">
      <c r="C182" s="200"/>
      <c r="D182" s="200"/>
      <c r="E182" s="200"/>
      <c r="F182" s="200"/>
      <c r="G182" s="200"/>
      <c r="H182" s="200"/>
      <c r="I182" s="200"/>
      <c r="J182" s="200"/>
      <c r="M182" s="172" t="s">
        <v>303</v>
      </c>
    </row>
    <row r="183" spans="3:13" ht="12.75">
      <c r="C183" s="200"/>
      <c r="D183" s="200"/>
      <c r="E183" s="200"/>
      <c r="F183" s="200"/>
      <c r="G183" s="200"/>
      <c r="H183" s="200"/>
      <c r="I183" s="200"/>
      <c r="J183" s="200"/>
      <c r="M183" s="172" t="s">
        <v>304</v>
      </c>
    </row>
    <row r="184" spans="3:13" ht="12.75">
      <c r="C184" s="190" t="str">
        <f>CONCATENATE(M113,"was encashed"," ",Data!D9,"","Days Earned Leaves and got the Consequent benefits as per rules")</f>
        <v>hewas encashed 300Days Earned Leaves and got the Consequent benefits as per rules</v>
      </c>
      <c r="D184" s="190"/>
      <c r="E184" s="190"/>
      <c r="F184" s="190"/>
      <c r="G184" s="190"/>
      <c r="H184" s="190"/>
      <c r="I184" s="190"/>
      <c r="J184" s="190"/>
      <c r="M184" s="172" t="s">
        <v>305</v>
      </c>
    </row>
    <row r="185" spans="3:13" ht="12.75">
      <c r="C185" s="190"/>
      <c r="D185" s="190"/>
      <c r="E185" s="190"/>
      <c r="F185" s="190"/>
      <c r="G185" s="190"/>
      <c r="H185" s="190"/>
      <c r="I185" s="190"/>
      <c r="J185" s="190"/>
      <c r="M185" s="172" t="s">
        <v>306</v>
      </c>
    </row>
    <row r="186" spans="3:13" ht="12.75">
      <c r="C186" s="190"/>
      <c r="D186" s="190"/>
      <c r="E186" s="190"/>
      <c r="F186" s="190"/>
      <c r="G186" s="190"/>
      <c r="H186" s="190"/>
      <c r="I186" s="190"/>
      <c r="J186" s="190"/>
      <c r="M186" s="172" t="s">
        <v>307</v>
      </c>
    </row>
    <row r="187" spans="3:13" ht="12.75">
      <c r="C187" s="190"/>
      <c r="D187" s="190"/>
      <c r="E187" s="190"/>
      <c r="F187" s="190"/>
      <c r="G187" s="190"/>
      <c r="H187" s="190"/>
      <c r="I187" s="190"/>
      <c r="J187" s="190"/>
      <c r="M187" s="172" t="s">
        <v>308</v>
      </c>
    </row>
    <row r="188" spans="3:13" ht="12.75">
      <c r="C188" s="190"/>
      <c r="D188" s="190"/>
      <c r="E188" s="190"/>
      <c r="F188" s="190"/>
      <c r="G188" s="190"/>
      <c r="H188" s="190"/>
      <c r="I188" s="190"/>
      <c r="J188" s="190"/>
      <c r="M188" s="172" t="s">
        <v>309</v>
      </c>
    </row>
    <row r="189" spans="3:13" ht="12.75">
      <c r="C189" s="191" t="str">
        <f>CONCATENATE(M113,"  drawing the Basic Pay of Rs.",G116," in the Scale of  ",N173," at the time of retirement D.A admissible is ",Data!F12,"%.Hence the HPL encashment amount of Rs.",'47 In'!J28," Only may be drawn and paid to the incumbent.")</f>
        <v>he  drawing the Basic Pay of Rs.21250 in the Scale of  14860-39540 at the time of retirement D.A admissible is 29.96%.Hence the HPL encashment amount of Rs.0.00 Only may be drawn and paid to the incumbent.</v>
      </c>
      <c r="D189" s="191"/>
      <c r="E189" s="191"/>
      <c r="F189" s="191"/>
      <c r="G189" s="191"/>
      <c r="H189" s="191"/>
      <c r="I189" s="191"/>
      <c r="J189" s="191"/>
      <c r="M189" s="172" t="s">
        <v>310</v>
      </c>
    </row>
    <row r="190" spans="3:13" ht="41.25" customHeight="1">
      <c r="C190" s="191"/>
      <c r="D190" s="191"/>
      <c r="E190" s="191"/>
      <c r="F190" s="191"/>
      <c r="G190" s="191"/>
      <c r="H190" s="191"/>
      <c r="I190" s="191"/>
      <c r="J190" s="191"/>
      <c r="M190" s="172" t="s">
        <v>311</v>
      </c>
    </row>
    <row r="191" ht="12.75">
      <c r="M191" s="172" t="s">
        <v>312</v>
      </c>
    </row>
    <row r="192" ht="12.75">
      <c r="M192" s="172" t="s">
        <v>313</v>
      </c>
    </row>
    <row r="193" ht="12.75">
      <c r="M193" s="172" t="s">
        <v>314</v>
      </c>
    </row>
    <row r="194" ht="12.75">
      <c r="M194" s="172" t="s">
        <v>315</v>
      </c>
    </row>
    <row r="195" ht="12.75">
      <c r="M195" s="172" t="s">
        <v>316</v>
      </c>
    </row>
    <row r="196" ht="12.75">
      <c r="M196" s="172" t="s">
        <v>317</v>
      </c>
    </row>
    <row r="197" ht="12.75">
      <c r="M197" s="172" t="s">
        <v>318</v>
      </c>
    </row>
    <row r="198" ht="12.75">
      <c r="M198" s="172" t="s">
        <v>319</v>
      </c>
    </row>
    <row r="199" ht="12.75">
      <c r="M199" s="172" t="s">
        <v>320</v>
      </c>
    </row>
    <row r="200" ht="12.75">
      <c r="M200" s="172" t="s">
        <v>321</v>
      </c>
    </row>
    <row r="201" ht="12.75">
      <c r="M201" s="172" t="s">
        <v>322</v>
      </c>
    </row>
  </sheetData>
  <sheetProtection password="92FA" sheet="1"/>
  <mergeCells count="38">
    <mergeCell ref="C184:J188"/>
    <mergeCell ref="C189:J190"/>
    <mergeCell ref="H128:I128"/>
    <mergeCell ref="H127:I127"/>
    <mergeCell ref="B177:J177"/>
    <mergeCell ref="C178:J183"/>
    <mergeCell ref="C172:J176"/>
    <mergeCell ref="D155:J155"/>
    <mergeCell ref="D156:J156"/>
    <mergeCell ref="D157:J161"/>
    <mergeCell ref="B61:D61"/>
    <mergeCell ref="B57:D57"/>
    <mergeCell ref="B58:D58"/>
    <mergeCell ref="F91:H91"/>
    <mergeCell ref="F84:H84"/>
    <mergeCell ref="B59:D59"/>
    <mergeCell ref="F86:I86"/>
    <mergeCell ref="F87:I87"/>
    <mergeCell ref="B60:D60"/>
    <mergeCell ref="F88:I88"/>
    <mergeCell ref="C3:I3"/>
    <mergeCell ref="C4:I4"/>
    <mergeCell ref="C5:I9"/>
    <mergeCell ref="B12:I19"/>
    <mergeCell ref="B55:D55"/>
    <mergeCell ref="B56:D56"/>
    <mergeCell ref="B20:I24"/>
    <mergeCell ref="A25:I25"/>
    <mergeCell ref="B26:I31"/>
    <mergeCell ref="C164:J171"/>
    <mergeCell ref="F89:I89"/>
    <mergeCell ref="F92:H92"/>
    <mergeCell ref="F93:H93"/>
    <mergeCell ref="F94:H94"/>
    <mergeCell ref="F95:H95"/>
    <mergeCell ref="F96:H96"/>
    <mergeCell ref="F97:H97"/>
    <mergeCell ref="F100:H100"/>
  </mergeCells>
  <printOptions/>
  <pageMargins left="0.75" right="0.75" top="1" bottom="1" header="0.5" footer="0.5"/>
  <pageSetup horizontalDpi="600" verticalDpi="600" orientation="portrait" paperSize="5" r:id="rId1"/>
</worksheet>
</file>

<file path=xl/worksheets/sheet2.xml><?xml version="1.0" encoding="utf-8"?>
<worksheet xmlns="http://schemas.openxmlformats.org/spreadsheetml/2006/main" xmlns:r="http://schemas.openxmlformats.org/officeDocument/2006/relationships">
  <dimension ref="B1:BJ596"/>
  <sheetViews>
    <sheetView tabSelected="1" zoomScalePageLayoutView="0" workbookViewId="0" topLeftCell="A1">
      <selection activeCell="E4" sqref="E4:G4"/>
    </sheetView>
  </sheetViews>
  <sheetFormatPr defaultColWidth="9.140625" defaultRowHeight="12.75"/>
  <cols>
    <col min="1" max="1" width="1.57421875" style="0" customWidth="1"/>
    <col min="2" max="2" width="3.57421875" style="0" customWidth="1"/>
    <col min="3" max="3" width="34.421875" style="0" customWidth="1"/>
    <col min="4" max="4" width="18.00390625" style="0" customWidth="1"/>
    <col min="5" max="5" width="21.7109375" style="0" customWidth="1"/>
    <col min="6" max="6" width="17.00390625" style="0" customWidth="1"/>
    <col min="8" max="8" width="4.421875" style="0" customWidth="1"/>
    <col min="15" max="15" width="10.140625" style="0" bestFit="1" customWidth="1"/>
  </cols>
  <sheetData>
    <row r="1" spans="2:62" ht="24.75" thickBot="1" thickTop="1">
      <c r="B1" s="124"/>
      <c r="C1" s="195" t="s">
        <v>287</v>
      </c>
      <c r="D1" s="186"/>
      <c r="E1" s="186"/>
      <c r="F1" s="186"/>
      <c r="G1" s="187"/>
      <c r="H1" s="124"/>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row>
    <row r="2" spans="2:62" ht="24.75" thickBot="1" thickTop="1">
      <c r="B2" s="124"/>
      <c r="C2" s="188" t="s">
        <v>286</v>
      </c>
      <c r="D2" s="186"/>
      <c r="E2" s="186"/>
      <c r="F2" s="186"/>
      <c r="G2" s="187"/>
      <c r="H2" s="124"/>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row>
    <row r="3" spans="2:62" ht="9.75" customHeight="1" thickBot="1" thickTop="1">
      <c r="B3" s="124"/>
      <c r="C3" s="124"/>
      <c r="D3" s="124"/>
      <c r="E3" s="124"/>
      <c r="F3" s="124"/>
      <c r="G3" s="124"/>
      <c r="H3" s="124"/>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row>
    <row r="4" spans="2:62" ht="27" customHeight="1" thickBot="1" thickTop="1">
      <c r="B4" s="124"/>
      <c r="C4" s="109" t="s">
        <v>1</v>
      </c>
      <c r="D4" s="103"/>
      <c r="E4" s="205" t="s">
        <v>347</v>
      </c>
      <c r="F4" s="206"/>
      <c r="G4" s="196"/>
      <c r="H4" s="124"/>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row>
    <row r="5" spans="2:62" ht="23.25" customHeight="1" thickBot="1" thickTop="1">
      <c r="B5" s="124"/>
      <c r="C5" s="109" t="s">
        <v>4</v>
      </c>
      <c r="D5" s="104"/>
      <c r="E5" s="115"/>
      <c r="F5" s="115"/>
      <c r="G5" s="116"/>
      <c r="H5" s="124"/>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row>
    <row r="6" spans="2:62" ht="25.5" customHeight="1" thickBot="1" thickTop="1">
      <c r="B6" s="124"/>
      <c r="C6" s="109" t="s">
        <v>5</v>
      </c>
      <c r="E6" s="197" t="s">
        <v>348</v>
      </c>
      <c r="F6" s="198"/>
      <c r="G6" s="199"/>
      <c r="H6" s="124"/>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row>
    <row r="7" spans="2:62" ht="21" customHeight="1" thickBot="1" thickTop="1">
      <c r="B7" s="124"/>
      <c r="C7" s="109" t="s">
        <v>8</v>
      </c>
      <c r="D7" s="208" t="s">
        <v>348</v>
      </c>
      <c r="E7" s="209"/>
      <c r="F7" s="209"/>
      <c r="G7" s="210" t="s">
        <v>288</v>
      </c>
      <c r="H7" s="124"/>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row>
    <row r="8" spans="2:62" ht="21" customHeight="1" thickBot="1" thickTop="1">
      <c r="B8" s="124"/>
      <c r="C8" s="109" t="s">
        <v>9</v>
      </c>
      <c r="D8" s="105"/>
      <c r="E8" s="105"/>
      <c r="F8" s="117"/>
      <c r="G8" s="211"/>
      <c r="H8" s="124"/>
      <c r="I8" s="170"/>
      <c r="J8" s="170"/>
      <c r="K8" s="170"/>
      <c r="L8" s="170"/>
      <c r="M8" s="170"/>
      <c r="N8" s="170"/>
      <c r="O8" s="171"/>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row>
    <row r="9" spans="2:62" ht="21" customHeight="1" thickBot="1" thickTop="1">
      <c r="B9" s="124"/>
      <c r="C9" s="109" t="s">
        <v>256</v>
      </c>
      <c r="D9" s="134">
        <v>300</v>
      </c>
      <c r="E9" s="131" t="s">
        <v>289</v>
      </c>
      <c r="F9" s="136">
        <v>58</v>
      </c>
      <c r="G9" s="211"/>
      <c r="H9" s="124"/>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c r="BJ9" s="170"/>
    </row>
    <row r="10" spans="2:62" ht="18.75" customHeight="1" thickBot="1" thickTop="1">
      <c r="B10" s="124"/>
      <c r="C10" s="109" t="s">
        <v>257</v>
      </c>
      <c r="D10" s="134">
        <v>0</v>
      </c>
      <c r="E10" s="133"/>
      <c r="F10" s="135"/>
      <c r="G10" s="211"/>
      <c r="H10" s="124"/>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c r="BJ10" s="170"/>
    </row>
    <row r="11" spans="2:62" ht="23.25" customHeight="1" thickBot="1" thickTop="1">
      <c r="B11" s="124"/>
      <c r="C11" s="110" t="s">
        <v>248</v>
      </c>
      <c r="D11" s="105"/>
      <c r="E11" s="132" t="s">
        <v>108</v>
      </c>
      <c r="F11" s="105"/>
      <c r="G11" s="211"/>
      <c r="H11" s="124"/>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row>
    <row r="12" spans="2:62" ht="28.5" customHeight="1" thickBot="1" thickTop="1">
      <c r="B12" s="124"/>
      <c r="C12" s="111" t="s">
        <v>247</v>
      </c>
      <c r="D12" s="112"/>
      <c r="E12" s="111" t="s">
        <v>107</v>
      </c>
      <c r="F12" s="137">
        <v>29.96</v>
      </c>
      <c r="G12" s="212"/>
      <c r="H12" s="124"/>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row>
    <row r="13" spans="2:62" ht="24" customHeight="1" thickBot="1" thickTop="1">
      <c r="B13" s="124"/>
      <c r="C13" s="111" t="s">
        <v>258</v>
      </c>
      <c r="D13" s="162"/>
      <c r="E13" s="163"/>
      <c r="F13" s="164" t="s">
        <v>344</v>
      </c>
      <c r="G13" s="166">
        <v>45</v>
      </c>
      <c r="H13" s="124"/>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row>
    <row r="14" spans="2:62" ht="26.25" customHeight="1" thickBot="1" thickTop="1">
      <c r="B14" s="124"/>
      <c r="C14" s="111" t="s">
        <v>259</v>
      </c>
      <c r="D14" s="197" t="s">
        <v>349</v>
      </c>
      <c r="E14" s="198"/>
      <c r="F14" s="165" t="s">
        <v>345</v>
      </c>
      <c r="G14" s="167">
        <v>90</v>
      </c>
      <c r="H14" s="124"/>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row>
    <row r="15" spans="2:62" ht="24" customHeight="1" thickBot="1" thickTop="1">
      <c r="B15" s="124"/>
      <c r="C15" s="111" t="s">
        <v>284</v>
      </c>
      <c r="D15" s="128" t="s">
        <v>346</v>
      </c>
      <c r="E15" s="111" t="s">
        <v>285</v>
      </c>
      <c r="F15" s="189">
        <v>40634</v>
      </c>
      <c r="G15" s="207"/>
      <c r="H15" s="124"/>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row>
    <row r="16" spans="2:62" ht="19.5" customHeight="1" thickBot="1" thickTop="1">
      <c r="B16" s="124"/>
      <c r="C16" s="111" t="s">
        <v>261</v>
      </c>
      <c r="D16" s="197" t="s">
        <v>350</v>
      </c>
      <c r="E16" s="198"/>
      <c r="F16" s="198"/>
      <c r="G16" s="199"/>
      <c r="H16" s="124"/>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row>
    <row r="17" spans="2:62" ht="19.5" customHeight="1" thickBot="1" thickTop="1">
      <c r="B17" s="124"/>
      <c r="C17" s="111" t="s">
        <v>262</v>
      </c>
      <c r="D17" s="197">
        <v>18022202149</v>
      </c>
      <c r="E17" s="198"/>
      <c r="F17" s="198"/>
      <c r="G17" s="199"/>
      <c r="H17" s="124"/>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row>
    <row r="18" spans="2:62" ht="20.25" thickBot="1" thickTop="1">
      <c r="B18" s="124"/>
      <c r="C18" s="111" t="s">
        <v>260</v>
      </c>
      <c r="D18" s="197" t="s">
        <v>264</v>
      </c>
      <c r="E18" s="199"/>
      <c r="F18" s="127" t="s">
        <v>352</v>
      </c>
      <c r="G18" s="124"/>
      <c r="H18" s="124"/>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row>
    <row r="19" spans="2:62" ht="20.25" thickBot="1" thickTop="1">
      <c r="B19" s="124"/>
      <c r="C19" s="111" t="s">
        <v>263</v>
      </c>
      <c r="D19" s="197" t="s">
        <v>351</v>
      </c>
      <c r="E19" s="199"/>
      <c r="F19" s="126" t="s">
        <v>353</v>
      </c>
      <c r="G19" s="124"/>
      <c r="H19" s="124"/>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row>
    <row r="20" spans="2:62" ht="24.75" customHeight="1" thickBot="1" thickTop="1">
      <c r="B20" s="124"/>
      <c r="C20" s="111" t="s">
        <v>335</v>
      </c>
      <c r="D20" s="142" t="s">
        <v>337</v>
      </c>
      <c r="E20" s="141"/>
      <c r="F20" s="168" t="s">
        <v>338</v>
      </c>
      <c r="G20" s="193"/>
      <c r="H20" s="194"/>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row>
    <row r="21" spans="2:62" ht="13.5" thickTop="1">
      <c r="B21" s="124"/>
      <c r="C21" s="124"/>
      <c r="D21" s="124"/>
      <c r="E21" s="124"/>
      <c r="F21" s="124"/>
      <c r="G21" s="125"/>
      <c r="H21" s="124"/>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row>
    <row r="22" spans="2:62" ht="12.75">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row>
    <row r="23" spans="2:62" ht="12.75">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row>
    <row r="24" spans="2:62" ht="12.75">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row>
    <row r="25" spans="2:62" ht="12.75">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row>
    <row r="26" spans="2:62" ht="12.75">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row>
    <row r="27" spans="2:62" ht="12.75">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row>
    <row r="28" spans="2:62" ht="12.75">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row>
    <row r="29" spans="2:62" ht="12.75">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row>
    <row r="30" spans="2:62" ht="12.75">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row>
    <row r="31" spans="2:62" ht="12.75">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row>
    <row r="32" spans="2:62" ht="12.75">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row>
    <row r="33" spans="2:62" ht="12.75">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row>
    <row r="34" spans="2:62" ht="12.75">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row>
    <row r="35" spans="2:62" ht="12.75">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row>
    <row r="36" spans="2:62" ht="12.75">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row>
    <row r="37" spans="2:62" ht="12.75">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row>
    <row r="38" spans="2:62" ht="12.75">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row>
    <row r="39" spans="2:62" ht="12.7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row>
    <row r="40" spans="2:62" ht="12.75">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row>
    <row r="41" spans="2:62" ht="12.75">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row>
    <row r="42" spans="2:62" ht="12.75">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row>
    <row r="43" spans="2:62" ht="12.75">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row>
    <row r="44" spans="2:62" ht="12.75">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row>
    <row r="45" spans="2:62" ht="12.75">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row>
    <row r="46" spans="2:62" ht="12.75">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row>
    <row r="47" spans="2:62" ht="12.75">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row>
    <row r="48" spans="2:62" ht="12.75">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row>
    <row r="49" spans="2:62" ht="12.75">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row>
    <row r="50" spans="2:62" ht="12.75">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row>
    <row r="51" spans="2:62" ht="12.75">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row>
    <row r="52" spans="2:62" ht="12.75">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row>
    <row r="53" spans="2:62" ht="12.75">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row>
    <row r="54" spans="2:62" ht="12.75">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row>
    <row r="55" spans="2:62" ht="12.75">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row>
    <row r="56" spans="2:62" ht="12.75">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row>
    <row r="57" spans="2:62" ht="12.75">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row>
    <row r="58" spans="2:62" ht="12.75">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row>
    <row r="59" spans="2:62" ht="12.75">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row>
    <row r="60" spans="2:62" ht="12.75">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row>
    <row r="61" spans="2:62" ht="12.75">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row>
    <row r="62" spans="2:62" ht="12.75">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row>
    <row r="63" spans="2:62" ht="12.75">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row>
    <row r="64" spans="2:62" ht="12.75">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row>
    <row r="65" spans="2:62" ht="12.75">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row>
    <row r="66" spans="2:62" ht="12.75">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row>
    <row r="67" spans="2:62" ht="12.75">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row>
    <row r="68" spans="2:62" ht="12.75">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row>
    <row r="69" spans="2:62" ht="12.75">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row>
    <row r="70" spans="2:62" ht="12.75">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row>
    <row r="71" spans="2:62" ht="12.75">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row>
    <row r="72" spans="2:62" ht="12.75">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row>
    <row r="73" spans="2:62" ht="12.75">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row>
    <row r="74" spans="2:62" ht="12.75">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row>
    <row r="75" spans="2:62" ht="12.75">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row>
    <row r="76" spans="2:62" ht="12.75">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row>
    <row r="77" spans="2:62" ht="12.75">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row>
    <row r="78" spans="2:62" ht="12.75">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row>
    <row r="79" spans="2:62" ht="12.75">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0"/>
      <c r="BF79" s="170"/>
      <c r="BG79" s="170"/>
      <c r="BH79" s="170"/>
      <c r="BI79" s="170"/>
      <c r="BJ79" s="170"/>
    </row>
    <row r="80" spans="2:62" ht="12.75">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row>
    <row r="81" spans="2:62" ht="12.75">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row>
    <row r="82" spans="2:62" ht="12.75">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row>
    <row r="83" spans="2:62" ht="12.75">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row>
    <row r="84" spans="2:62" ht="12.75">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row>
    <row r="85" spans="2:62" ht="12.75">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row>
    <row r="86" spans="2:62" ht="12.75">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row>
    <row r="87" spans="2:62" ht="12.75">
      <c r="B87" s="170"/>
      <c r="C87" s="170"/>
      <c r="D87" s="170"/>
      <c r="E87" s="170"/>
      <c r="F87" s="170"/>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row>
    <row r="88" spans="2:62" ht="12.75">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row>
    <row r="89" spans="2:62" ht="12.75">
      <c r="B89" s="170"/>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row>
    <row r="90" spans="2:62" ht="12.75">
      <c r="B90" s="170"/>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row>
    <row r="91" spans="2:62" ht="12.75">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row>
    <row r="92" spans="2:62" ht="12.75">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row>
    <row r="93" spans="2:62" ht="12.75">
      <c r="B93" s="170"/>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0"/>
      <c r="AY93" s="170"/>
      <c r="AZ93" s="170"/>
      <c r="BA93" s="170"/>
      <c r="BB93" s="170"/>
      <c r="BC93" s="170"/>
      <c r="BD93" s="170"/>
      <c r="BE93" s="170"/>
      <c r="BF93" s="170"/>
      <c r="BG93" s="170"/>
      <c r="BH93" s="170"/>
      <c r="BI93" s="170"/>
      <c r="BJ93" s="170"/>
    </row>
    <row r="94" spans="2:62" ht="12.75">
      <c r="B94" s="170"/>
      <c r="C94" s="170"/>
      <c r="D94" s="170"/>
      <c r="E94" s="170"/>
      <c r="F94" s="170"/>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row>
    <row r="95" spans="2:62" ht="12.75">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row>
    <row r="96" spans="2:62" ht="12.75">
      <c r="B96" s="170"/>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row>
    <row r="97" spans="2:62" ht="12.75">
      <c r="B97" s="170"/>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row>
    <row r="98" spans="2:62" ht="12.75">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row>
    <row r="99" spans="2:62" ht="12.75">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row>
    <row r="100" spans="2:62" ht="12.75">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row>
    <row r="101" spans="2:62" ht="12.75">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row>
    <row r="102" spans="2:62" ht="12.75">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row>
    <row r="103" spans="2:62" ht="12.75">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row>
    <row r="104" spans="2:62" ht="12.75">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row>
    <row r="105" spans="2:62" ht="12.75">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row>
    <row r="106" spans="2:62" ht="12.75">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row>
    <row r="107" spans="2:62" ht="12.75">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row>
    <row r="108" spans="2:62" ht="12.75">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row>
    <row r="109" spans="2:62" ht="12.75">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row>
    <row r="110" spans="2:62" ht="12.75">
      <c r="B110" s="170"/>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row>
    <row r="111" spans="2:62" ht="12.75">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row>
    <row r="112" spans="2:62" ht="12.75">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row>
    <row r="113" spans="2:62" ht="12.75">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row>
    <row r="114" spans="2:62" ht="12.75">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row>
    <row r="115" spans="2:62" ht="12.75">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row>
    <row r="116" spans="2:62" ht="12.75">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row>
    <row r="117" spans="2:62" ht="12.75">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row>
    <row r="118" spans="2:62" ht="12.75">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row>
    <row r="119" spans="2:62" ht="12.75">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row>
    <row r="120" spans="2:62" ht="12.75">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row>
    <row r="121" spans="2:62" ht="12.75">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row>
    <row r="122" spans="2:62" ht="12.75">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row>
    <row r="123" spans="2:62" ht="12.75">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row>
    <row r="124" spans="2:62" ht="12.75">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row>
    <row r="125" spans="2:62" ht="12.75">
      <c r="B125" s="170"/>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row>
    <row r="126" spans="2:62" ht="12.75">
      <c r="B126" s="170"/>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row>
    <row r="127" spans="2:62" ht="12.75">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row>
    <row r="128" spans="2:62" ht="12.75">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row>
    <row r="129" spans="2:62" ht="12.75">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row>
    <row r="130" spans="2:62" ht="12.75">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row>
    <row r="131" spans="2:62" ht="12.75">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row>
    <row r="132" spans="2:62" ht="12.75">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170"/>
      <c r="BD132" s="170"/>
      <c r="BE132" s="170"/>
      <c r="BF132" s="170"/>
      <c r="BG132" s="170"/>
      <c r="BH132" s="170"/>
      <c r="BI132" s="170"/>
      <c r="BJ132" s="170"/>
    </row>
    <row r="133" spans="2:62" ht="12.75">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170"/>
      <c r="BD133" s="170"/>
      <c r="BE133" s="170"/>
      <c r="BF133" s="170"/>
      <c r="BG133" s="170"/>
      <c r="BH133" s="170"/>
      <c r="BI133" s="170"/>
      <c r="BJ133" s="170"/>
    </row>
    <row r="134" spans="2:62" ht="12.75">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c r="AY134" s="170"/>
      <c r="AZ134" s="170"/>
      <c r="BA134" s="170"/>
      <c r="BB134" s="170"/>
      <c r="BC134" s="170"/>
      <c r="BD134" s="170"/>
      <c r="BE134" s="170"/>
      <c r="BF134" s="170"/>
      <c r="BG134" s="170"/>
      <c r="BH134" s="170"/>
      <c r="BI134" s="170"/>
      <c r="BJ134" s="170"/>
    </row>
    <row r="135" spans="2:62" ht="12.75">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c r="AY135" s="170"/>
      <c r="AZ135" s="170"/>
      <c r="BA135" s="170"/>
      <c r="BB135" s="170"/>
      <c r="BC135" s="170"/>
      <c r="BD135" s="170"/>
      <c r="BE135" s="170"/>
      <c r="BF135" s="170"/>
      <c r="BG135" s="170"/>
      <c r="BH135" s="170"/>
      <c r="BI135" s="170"/>
      <c r="BJ135" s="170"/>
    </row>
    <row r="136" spans="2:62" ht="12.75">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c r="BD136" s="170"/>
      <c r="BE136" s="170"/>
      <c r="BF136" s="170"/>
      <c r="BG136" s="170"/>
      <c r="BH136" s="170"/>
      <c r="BI136" s="170"/>
      <c r="BJ136" s="170"/>
    </row>
    <row r="137" spans="2:62" ht="12.75">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row>
    <row r="138" spans="2:62" ht="12.75">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row>
    <row r="139" spans="2:62" ht="12.75">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row>
    <row r="140" spans="2:62" ht="12.75">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row>
    <row r="141" spans="2:62" ht="12.75">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row>
    <row r="142" spans="2:62" ht="12.75">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row>
    <row r="143" spans="2:62" ht="12.75">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row>
    <row r="144" spans="2:62" ht="12.75">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row>
    <row r="145" spans="2:62" ht="12.75">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row>
    <row r="146" spans="2:62" ht="12.75">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row>
    <row r="147" spans="2:62" ht="12.75">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row>
    <row r="148" spans="2:62" ht="12.75">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row>
    <row r="149" spans="2:62" ht="12.75">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row>
    <row r="150" spans="2:62" ht="12.75">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row>
    <row r="151" spans="2:62" ht="12.75">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row>
    <row r="152" spans="2:62" ht="12.75">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row>
    <row r="153" spans="2:62" ht="12.75">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row>
    <row r="154" spans="2:62" ht="12.75">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row>
    <row r="155" spans="2:62" ht="12.75">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row>
    <row r="156" spans="2:62" ht="12.75">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row>
    <row r="157" spans="2:62" ht="12.75">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row>
    <row r="158" spans="2:62" ht="12.75">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row>
    <row r="159" spans="2:62" ht="12.75">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row>
    <row r="160" spans="2:62" ht="12.75">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row>
    <row r="161" spans="2:62" ht="12.75">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row>
    <row r="162" spans="2:62" ht="12.75">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row>
    <row r="163" spans="2:62" ht="12.75">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row>
    <row r="164" spans="2:62" ht="12.75">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row>
    <row r="165" spans="2:62" ht="12.75">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row>
    <row r="166" spans="2:62" ht="12.75">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row>
    <row r="167" spans="2:62" ht="12.75">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row>
    <row r="168" spans="2:62" ht="12.75">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row>
    <row r="169" spans="2:62" ht="12.75">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row>
    <row r="170" spans="2:62" ht="12.75">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row>
    <row r="171" spans="2:62" ht="12.75">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row>
    <row r="172" spans="2:62" ht="12.75">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row>
    <row r="173" spans="2:62" ht="12.75">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row>
    <row r="174" spans="2:62" ht="12.75">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row>
    <row r="175" spans="2:62" ht="12.75">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row>
    <row r="176" spans="2:62" ht="12.75">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row>
    <row r="177" spans="2:62" ht="12.75">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row>
    <row r="178" spans="2:62" ht="12.75">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row>
    <row r="179" spans="2:62" ht="12.75">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row>
    <row r="180" spans="2:62" ht="12.75">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0"/>
      <c r="BC180" s="170"/>
      <c r="BD180" s="170"/>
      <c r="BE180" s="170"/>
      <c r="BF180" s="170"/>
      <c r="BG180" s="170"/>
      <c r="BH180" s="170"/>
      <c r="BI180" s="170"/>
      <c r="BJ180" s="170"/>
    </row>
    <row r="181" spans="2:62" ht="12.75">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row>
    <row r="182" spans="2:62" ht="12.75">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row>
    <row r="183" spans="2:62" ht="12.75">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c r="AY183" s="170"/>
      <c r="AZ183" s="170"/>
      <c r="BA183" s="170"/>
      <c r="BB183" s="170"/>
      <c r="BC183" s="170"/>
      <c r="BD183" s="170"/>
      <c r="BE183" s="170"/>
      <c r="BF183" s="170"/>
      <c r="BG183" s="170"/>
      <c r="BH183" s="170"/>
      <c r="BI183" s="170"/>
      <c r="BJ183" s="170"/>
    </row>
    <row r="184" spans="2:62" ht="12.75">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c r="AY184" s="170"/>
      <c r="AZ184" s="170"/>
      <c r="BA184" s="170"/>
      <c r="BB184" s="170"/>
      <c r="BC184" s="170"/>
      <c r="BD184" s="170"/>
      <c r="BE184" s="170"/>
      <c r="BF184" s="170"/>
      <c r="BG184" s="170"/>
      <c r="BH184" s="170"/>
      <c r="BI184" s="170"/>
      <c r="BJ184" s="170"/>
    </row>
    <row r="185" spans="2:62" ht="12.75">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row>
    <row r="186" spans="2:62" ht="12.75">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row>
    <row r="187" spans="2:62" ht="12.75">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c r="AY187" s="170"/>
      <c r="AZ187" s="170"/>
      <c r="BA187" s="170"/>
      <c r="BB187" s="170"/>
      <c r="BC187" s="170"/>
      <c r="BD187" s="170"/>
      <c r="BE187" s="170"/>
      <c r="BF187" s="170"/>
      <c r="BG187" s="170"/>
      <c r="BH187" s="170"/>
      <c r="BI187" s="170"/>
      <c r="BJ187" s="170"/>
    </row>
    <row r="188" spans="2:62" ht="12.75">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row>
    <row r="189" spans="2:62" ht="12.75">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c r="AY189" s="170"/>
      <c r="AZ189" s="170"/>
      <c r="BA189" s="170"/>
      <c r="BB189" s="170"/>
      <c r="BC189" s="170"/>
      <c r="BD189" s="170"/>
      <c r="BE189" s="170"/>
      <c r="BF189" s="170"/>
      <c r="BG189" s="170"/>
      <c r="BH189" s="170"/>
      <c r="BI189" s="170"/>
      <c r="BJ189" s="170"/>
    </row>
    <row r="190" spans="2:62" ht="12.75">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0"/>
      <c r="AZ190" s="170"/>
      <c r="BA190" s="170"/>
      <c r="BB190" s="170"/>
      <c r="BC190" s="170"/>
      <c r="BD190" s="170"/>
      <c r="BE190" s="170"/>
      <c r="BF190" s="170"/>
      <c r="BG190" s="170"/>
      <c r="BH190" s="170"/>
      <c r="BI190" s="170"/>
      <c r="BJ190" s="170"/>
    </row>
    <row r="191" spans="2:62" ht="12.75">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70"/>
    </row>
    <row r="192" spans="2:62" ht="12.75">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row>
    <row r="193" spans="2:62" ht="12.75">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row>
    <row r="194" spans="2:62" ht="12.75">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row>
    <row r="195" spans="2:62" ht="12.75">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row>
    <row r="196" spans="2:62" ht="12.75">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row>
    <row r="197" spans="2:62" ht="12.75">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row>
    <row r="198" spans="2:62" ht="12.75">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row>
    <row r="199" spans="2:62" ht="12.75">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row>
    <row r="200" spans="2:62" ht="12.75">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c r="AY200" s="170"/>
      <c r="AZ200" s="170"/>
      <c r="BA200" s="170"/>
      <c r="BB200" s="170"/>
      <c r="BC200" s="170"/>
      <c r="BD200" s="170"/>
      <c r="BE200" s="170"/>
      <c r="BF200" s="170"/>
      <c r="BG200" s="170"/>
      <c r="BH200" s="170"/>
      <c r="BI200" s="170"/>
      <c r="BJ200" s="170"/>
    </row>
    <row r="201" spans="2:62" ht="12.75">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c r="BD201" s="170"/>
      <c r="BE201" s="170"/>
      <c r="BF201" s="170"/>
      <c r="BG201" s="170"/>
      <c r="BH201" s="170"/>
      <c r="BI201" s="170"/>
      <c r="BJ201" s="170"/>
    </row>
    <row r="202" spans="2:62" ht="12.75">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c r="AY202" s="170"/>
      <c r="AZ202" s="170"/>
      <c r="BA202" s="170"/>
      <c r="BB202" s="170"/>
      <c r="BC202" s="170"/>
      <c r="BD202" s="170"/>
      <c r="BE202" s="170"/>
      <c r="BF202" s="170"/>
      <c r="BG202" s="170"/>
      <c r="BH202" s="170"/>
      <c r="BI202" s="170"/>
      <c r="BJ202" s="170"/>
    </row>
    <row r="203" spans="2:62" ht="12.75">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c r="BD203" s="170"/>
      <c r="BE203" s="170"/>
      <c r="BF203" s="170"/>
      <c r="BG203" s="170"/>
      <c r="BH203" s="170"/>
      <c r="BI203" s="170"/>
      <c r="BJ203" s="170"/>
    </row>
    <row r="204" spans="2:62" ht="12.75">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0"/>
      <c r="BG204" s="170"/>
      <c r="BH204" s="170"/>
      <c r="BI204" s="170"/>
      <c r="BJ204" s="170"/>
    </row>
    <row r="205" spans="2:62" ht="12.75">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row>
    <row r="206" spans="2:62" ht="12.75">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row>
    <row r="207" spans="2:62" ht="12.75">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row>
    <row r="208" spans="2:62" ht="12.75">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0"/>
      <c r="BI208" s="170"/>
      <c r="BJ208" s="170"/>
    </row>
    <row r="209" spans="2:62" ht="12.75">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row>
    <row r="210" spans="2:62" ht="12.75">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row>
    <row r="211" spans="2:62" ht="12.75">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row>
    <row r="212" spans="2:62" ht="12.75">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0"/>
      <c r="BI212" s="170"/>
      <c r="BJ212" s="170"/>
    </row>
    <row r="213" spans="2:62" ht="12.75">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row>
    <row r="214" spans="2:62" ht="12.75">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0"/>
      <c r="BI214" s="170"/>
      <c r="BJ214" s="170"/>
    </row>
    <row r="215" spans="2:62" ht="12.75">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0"/>
    </row>
    <row r="216" spans="2:62" ht="12.75">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0"/>
    </row>
    <row r="217" spans="2:62" ht="12.75">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row>
    <row r="218" spans="2:62" ht="12.75">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row>
    <row r="219" spans="2:62" ht="12.75">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row>
    <row r="220" spans="2:62" ht="12.75">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row>
    <row r="221" spans="2:62" ht="12.75">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row>
    <row r="222" spans="2:62" ht="12.75">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row>
    <row r="223" spans="2:62" ht="12.75">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c r="AY223" s="170"/>
      <c r="AZ223" s="170"/>
      <c r="BA223" s="170"/>
      <c r="BB223" s="170"/>
      <c r="BC223" s="170"/>
      <c r="BD223" s="170"/>
      <c r="BE223" s="170"/>
      <c r="BF223" s="170"/>
      <c r="BG223" s="170"/>
      <c r="BH223" s="170"/>
      <c r="BI223" s="170"/>
      <c r="BJ223" s="170"/>
    </row>
    <row r="224" spans="2:62" ht="12.75">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c r="AY224" s="170"/>
      <c r="AZ224" s="170"/>
      <c r="BA224" s="170"/>
      <c r="BB224" s="170"/>
      <c r="BC224" s="170"/>
      <c r="BD224" s="170"/>
      <c r="BE224" s="170"/>
      <c r="BF224" s="170"/>
      <c r="BG224" s="170"/>
      <c r="BH224" s="170"/>
      <c r="BI224" s="170"/>
      <c r="BJ224" s="170"/>
    </row>
    <row r="225" spans="2:62" ht="12.75">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row>
    <row r="226" spans="2:62" ht="12.75">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c r="BD226" s="170"/>
      <c r="BE226" s="170"/>
      <c r="BF226" s="170"/>
      <c r="BG226" s="170"/>
      <c r="BH226" s="170"/>
      <c r="BI226" s="170"/>
      <c r="BJ226" s="170"/>
    </row>
    <row r="227" spans="2:62" ht="12.75">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0"/>
      <c r="BC227" s="170"/>
      <c r="BD227" s="170"/>
      <c r="BE227" s="170"/>
      <c r="BF227" s="170"/>
      <c r="BG227" s="170"/>
      <c r="BH227" s="170"/>
      <c r="BI227" s="170"/>
      <c r="BJ227" s="170"/>
    </row>
    <row r="228" spans="2:62" ht="12.75">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c r="AY228" s="170"/>
      <c r="AZ228" s="170"/>
      <c r="BA228" s="170"/>
      <c r="BB228" s="170"/>
      <c r="BC228" s="170"/>
      <c r="BD228" s="170"/>
      <c r="BE228" s="170"/>
      <c r="BF228" s="170"/>
      <c r="BG228" s="170"/>
      <c r="BH228" s="170"/>
      <c r="BI228" s="170"/>
      <c r="BJ228" s="170"/>
    </row>
    <row r="229" spans="2:62" ht="12.75">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c r="AY229" s="170"/>
      <c r="AZ229" s="170"/>
      <c r="BA229" s="170"/>
      <c r="BB229" s="170"/>
      <c r="BC229" s="170"/>
      <c r="BD229" s="170"/>
      <c r="BE229" s="170"/>
      <c r="BF229" s="170"/>
      <c r="BG229" s="170"/>
      <c r="BH229" s="170"/>
      <c r="BI229" s="170"/>
      <c r="BJ229" s="170"/>
    </row>
    <row r="230" spans="2:62" ht="12.75">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c r="AY230" s="170"/>
      <c r="AZ230" s="170"/>
      <c r="BA230" s="170"/>
      <c r="BB230" s="170"/>
      <c r="BC230" s="170"/>
      <c r="BD230" s="170"/>
      <c r="BE230" s="170"/>
      <c r="BF230" s="170"/>
      <c r="BG230" s="170"/>
      <c r="BH230" s="170"/>
      <c r="BI230" s="170"/>
      <c r="BJ230" s="170"/>
    </row>
    <row r="231" spans="2:62" ht="12.75">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c r="AY231" s="170"/>
      <c r="AZ231" s="170"/>
      <c r="BA231" s="170"/>
      <c r="BB231" s="170"/>
      <c r="BC231" s="170"/>
      <c r="BD231" s="170"/>
      <c r="BE231" s="170"/>
      <c r="BF231" s="170"/>
      <c r="BG231" s="170"/>
      <c r="BH231" s="170"/>
      <c r="BI231" s="170"/>
      <c r="BJ231" s="170"/>
    </row>
    <row r="232" spans="2:62" ht="12.75">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c r="AY232" s="170"/>
      <c r="AZ232" s="170"/>
      <c r="BA232" s="170"/>
      <c r="BB232" s="170"/>
      <c r="BC232" s="170"/>
      <c r="BD232" s="170"/>
      <c r="BE232" s="170"/>
      <c r="BF232" s="170"/>
      <c r="BG232" s="170"/>
      <c r="BH232" s="170"/>
      <c r="BI232" s="170"/>
      <c r="BJ232" s="170"/>
    </row>
    <row r="233" spans="2:62" ht="12.75">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row>
    <row r="234" spans="2:62" ht="12.75">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170"/>
      <c r="BD234" s="170"/>
      <c r="BE234" s="170"/>
      <c r="BF234" s="170"/>
      <c r="BG234" s="170"/>
      <c r="BH234" s="170"/>
      <c r="BI234" s="170"/>
      <c r="BJ234" s="170"/>
    </row>
    <row r="235" spans="2:62" ht="12.75">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70"/>
      <c r="BD235" s="170"/>
      <c r="BE235" s="170"/>
      <c r="BF235" s="170"/>
      <c r="BG235" s="170"/>
      <c r="BH235" s="170"/>
      <c r="BI235" s="170"/>
      <c r="BJ235" s="170"/>
    </row>
    <row r="236" spans="2:62" ht="12.75">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c r="AY236" s="170"/>
      <c r="AZ236" s="170"/>
      <c r="BA236" s="170"/>
      <c r="BB236" s="170"/>
      <c r="BC236" s="170"/>
      <c r="BD236" s="170"/>
      <c r="BE236" s="170"/>
      <c r="BF236" s="170"/>
      <c r="BG236" s="170"/>
      <c r="BH236" s="170"/>
      <c r="BI236" s="170"/>
      <c r="BJ236" s="170"/>
    </row>
    <row r="237" spans="2:62" ht="12.75">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c r="AY237" s="170"/>
      <c r="AZ237" s="170"/>
      <c r="BA237" s="170"/>
      <c r="BB237" s="170"/>
      <c r="BC237" s="170"/>
      <c r="BD237" s="170"/>
      <c r="BE237" s="170"/>
      <c r="BF237" s="170"/>
      <c r="BG237" s="170"/>
      <c r="BH237" s="170"/>
      <c r="BI237" s="170"/>
      <c r="BJ237" s="170"/>
    </row>
    <row r="238" spans="2:62" ht="12.75">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c r="BD238" s="170"/>
      <c r="BE238" s="170"/>
      <c r="BF238" s="170"/>
      <c r="BG238" s="170"/>
      <c r="BH238" s="170"/>
      <c r="BI238" s="170"/>
      <c r="BJ238" s="170"/>
    </row>
    <row r="239" spans="2:62" ht="12.75">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row>
    <row r="240" spans="2:62" ht="12.75">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row>
    <row r="241" spans="2:62" ht="12.75">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row>
    <row r="242" spans="2:62" ht="12.75">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row>
    <row r="243" spans="2:62" ht="12.75">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170"/>
      <c r="BD243" s="170"/>
      <c r="BE243" s="170"/>
      <c r="BF243" s="170"/>
      <c r="BG243" s="170"/>
      <c r="BH243" s="170"/>
      <c r="BI243" s="170"/>
      <c r="BJ243" s="170"/>
    </row>
    <row r="244" spans="2:62" ht="12.75">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row>
    <row r="245" spans="2:62" ht="12.75">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row>
    <row r="246" spans="2:62" ht="12.75">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row>
    <row r="247" spans="2:62" ht="12.75">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c r="AY247" s="170"/>
      <c r="AZ247" s="170"/>
      <c r="BA247" s="170"/>
      <c r="BB247" s="170"/>
      <c r="BC247" s="170"/>
      <c r="BD247" s="170"/>
      <c r="BE247" s="170"/>
      <c r="BF247" s="170"/>
      <c r="BG247" s="170"/>
      <c r="BH247" s="170"/>
      <c r="BI247" s="170"/>
      <c r="BJ247" s="170"/>
    </row>
    <row r="248" spans="2:62" ht="12.75">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0"/>
      <c r="BI248" s="170"/>
      <c r="BJ248" s="170"/>
    </row>
    <row r="249" spans="2:62" ht="12.75">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c r="AY249" s="170"/>
      <c r="AZ249" s="170"/>
      <c r="BA249" s="170"/>
      <c r="BB249" s="170"/>
      <c r="BC249" s="170"/>
      <c r="BD249" s="170"/>
      <c r="BE249" s="170"/>
      <c r="BF249" s="170"/>
      <c r="BG249" s="170"/>
      <c r="BH249" s="170"/>
      <c r="BI249" s="170"/>
      <c r="BJ249" s="170"/>
    </row>
    <row r="250" spans="2:62" ht="12.75">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row>
    <row r="251" spans="2:62" ht="12.75">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c r="AY251" s="170"/>
      <c r="AZ251" s="170"/>
      <c r="BA251" s="170"/>
      <c r="BB251" s="170"/>
      <c r="BC251" s="170"/>
      <c r="BD251" s="170"/>
      <c r="BE251" s="170"/>
      <c r="BF251" s="170"/>
      <c r="BG251" s="170"/>
      <c r="BH251" s="170"/>
      <c r="BI251" s="170"/>
      <c r="BJ251" s="170"/>
    </row>
    <row r="252" spans="2:62" ht="12.75">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c r="AY252" s="170"/>
      <c r="AZ252" s="170"/>
      <c r="BA252" s="170"/>
      <c r="BB252" s="170"/>
      <c r="BC252" s="170"/>
      <c r="BD252" s="170"/>
      <c r="BE252" s="170"/>
      <c r="BF252" s="170"/>
      <c r="BG252" s="170"/>
      <c r="BH252" s="170"/>
      <c r="BI252" s="170"/>
      <c r="BJ252" s="170"/>
    </row>
    <row r="253" spans="2:62" ht="12.75">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c r="AY253" s="170"/>
      <c r="AZ253" s="170"/>
      <c r="BA253" s="170"/>
      <c r="BB253" s="170"/>
      <c r="BC253" s="170"/>
      <c r="BD253" s="170"/>
      <c r="BE253" s="170"/>
      <c r="BF253" s="170"/>
      <c r="BG253" s="170"/>
      <c r="BH253" s="170"/>
      <c r="BI253" s="170"/>
      <c r="BJ253" s="170"/>
    </row>
    <row r="254" spans="2:62" ht="12.75">
      <c r="B254" s="170"/>
      <c r="C254" s="170"/>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row>
    <row r="255" spans="2:62" ht="12.75">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row>
    <row r="256" spans="2:62" ht="12.75">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row>
    <row r="257" spans="2:62" ht="12.75">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c r="BD257" s="170"/>
      <c r="BE257" s="170"/>
      <c r="BF257" s="170"/>
      <c r="BG257" s="170"/>
      <c r="BH257" s="170"/>
      <c r="BI257" s="170"/>
      <c r="BJ257" s="170"/>
    </row>
    <row r="258" spans="2:62" ht="12.75">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0"/>
      <c r="BI258" s="170"/>
      <c r="BJ258" s="170"/>
    </row>
    <row r="259" spans="2:62" ht="12.75">
      <c r="B259" s="170"/>
      <c r="C259" s="170"/>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row>
    <row r="260" spans="2:62" ht="12.75">
      <c r="B260" s="170"/>
      <c r="C260" s="170"/>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c r="AY260" s="170"/>
      <c r="AZ260" s="170"/>
      <c r="BA260" s="170"/>
      <c r="BB260" s="170"/>
      <c r="BC260" s="170"/>
      <c r="BD260" s="170"/>
      <c r="BE260" s="170"/>
      <c r="BF260" s="170"/>
      <c r="BG260" s="170"/>
      <c r="BH260" s="170"/>
      <c r="BI260" s="170"/>
      <c r="BJ260" s="170"/>
    </row>
    <row r="261" spans="2:62" ht="12.75">
      <c r="B261" s="170"/>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c r="AY261" s="170"/>
      <c r="AZ261" s="170"/>
      <c r="BA261" s="170"/>
      <c r="BB261" s="170"/>
      <c r="BC261" s="170"/>
      <c r="BD261" s="170"/>
      <c r="BE261" s="170"/>
      <c r="BF261" s="170"/>
      <c r="BG261" s="170"/>
      <c r="BH261" s="170"/>
      <c r="BI261" s="170"/>
      <c r="BJ261" s="170"/>
    </row>
    <row r="262" spans="2:62" ht="12.75">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row>
    <row r="263" spans="2:62" ht="12.75">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c r="AY263" s="170"/>
      <c r="AZ263" s="170"/>
      <c r="BA263" s="170"/>
      <c r="BB263" s="170"/>
      <c r="BC263" s="170"/>
      <c r="BD263" s="170"/>
      <c r="BE263" s="170"/>
      <c r="BF263" s="170"/>
      <c r="BG263" s="170"/>
      <c r="BH263" s="170"/>
      <c r="BI263" s="170"/>
      <c r="BJ263" s="170"/>
    </row>
    <row r="264" spans="2:62" ht="12.75">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c r="AY264" s="170"/>
      <c r="AZ264" s="170"/>
      <c r="BA264" s="170"/>
      <c r="BB264" s="170"/>
      <c r="BC264" s="170"/>
      <c r="BD264" s="170"/>
      <c r="BE264" s="170"/>
      <c r="BF264" s="170"/>
      <c r="BG264" s="170"/>
      <c r="BH264" s="170"/>
      <c r="BI264" s="170"/>
      <c r="BJ264" s="170"/>
    </row>
    <row r="265" spans="2:62" ht="12.75">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0"/>
      <c r="BG265" s="170"/>
      <c r="BH265" s="170"/>
      <c r="BI265" s="170"/>
      <c r="BJ265" s="170"/>
    </row>
    <row r="266" spans="2:62" ht="12.75">
      <c r="B266" s="170"/>
      <c r="C266" s="170"/>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row>
    <row r="267" spans="2:62" ht="12.75">
      <c r="B267" s="170"/>
      <c r="C267" s="170"/>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c r="AY267" s="170"/>
      <c r="AZ267" s="170"/>
      <c r="BA267" s="170"/>
      <c r="BB267" s="170"/>
      <c r="BC267" s="170"/>
      <c r="BD267" s="170"/>
      <c r="BE267" s="170"/>
      <c r="BF267" s="170"/>
      <c r="BG267" s="170"/>
      <c r="BH267" s="170"/>
      <c r="BI267" s="170"/>
      <c r="BJ267" s="170"/>
    </row>
    <row r="268" spans="2:62" ht="12.75">
      <c r="B268" s="170"/>
      <c r="C268" s="170"/>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c r="BD268" s="170"/>
      <c r="BE268" s="170"/>
      <c r="BF268" s="170"/>
      <c r="BG268" s="170"/>
      <c r="BH268" s="170"/>
      <c r="BI268" s="170"/>
      <c r="BJ268" s="170"/>
    </row>
    <row r="269" spans="2:62" ht="12.75">
      <c r="B269" s="170"/>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row>
    <row r="270" spans="2:62" ht="12.75">
      <c r="B270" s="170"/>
      <c r="C270" s="170"/>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row>
    <row r="271" spans="2:62" ht="12.75">
      <c r="B271" s="170"/>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row>
    <row r="272" spans="2:62" ht="12.75">
      <c r="B272" s="170"/>
      <c r="C272" s="170"/>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c r="AY272" s="170"/>
      <c r="AZ272" s="170"/>
      <c r="BA272" s="170"/>
      <c r="BB272" s="170"/>
      <c r="BC272" s="170"/>
      <c r="BD272" s="170"/>
      <c r="BE272" s="170"/>
      <c r="BF272" s="170"/>
      <c r="BG272" s="170"/>
      <c r="BH272" s="170"/>
      <c r="BI272" s="170"/>
      <c r="BJ272" s="170"/>
    </row>
    <row r="273" spans="2:62" ht="12.75">
      <c r="B273" s="170"/>
      <c r="C273" s="170"/>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row>
    <row r="274" spans="2:62" ht="12.75">
      <c r="B274" s="170"/>
      <c r="C274" s="170"/>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c r="AY274" s="170"/>
      <c r="AZ274" s="170"/>
      <c r="BA274" s="170"/>
      <c r="BB274" s="170"/>
      <c r="BC274" s="170"/>
      <c r="BD274" s="170"/>
      <c r="BE274" s="170"/>
      <c r="BF274" s="170"/>
      <c r="BG274" s="170"/>
      <c r="BH274" s="170"/>
      <c r="BI274" s="170"/>
      <c r="BJ274" s="170"/>
    </row>
    <row r="275" spans="2:62" ht="12.75">
      <c r="B275" s="170"/>
      <c r="C275" s="170"/>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row>
    <row r="276" spans="2:62" ht="12.75">
      <c r="B276" s="170"/>
      <c r="C276" s="170"/>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c r="AY276" s="170"/>
      <c r="AZ276" s="170"/>
      <c r="BA276" s="170"/>
      <c r="BB276" s="170"/>
      <c r="BC276" s="170"/>
      <c r="BD276" s="170"/>
      <c r="BE276" s="170"/>
      <c r="BF276" s="170"/>
      <c r="BG276" s="170"/>
      <c r="BH276" s="170"/>
      <c r="BI276" s="170"/>
      <c r="BJ276" s="170"/>
    </row>
    <row r="277" spans="2:62" ht="12.75">
      <c r="B277" s="170"/>
      <c r="C277" s="170"/>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170"/>
      <c r="BD277" s="170"/>
      <c r="BE277" s="170"/>
      <c r="BF277" s="170"/>
      <c r="BG277" s="170"/>
      <c r="BH277" s="170"/>
      <c r="BI277" s="170"/>
      <c r="BJ277" s="170"/>
    </row>
    <row r="278" spans="2:62" ht="12.75">
      <c r="B278" s="170"/>
      <c r="C278" s="170"/>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c r="AY278" s="170"/>
      <c r="AZ278" s="170"/>
      <c r="BA278" s="170"/>
      <c r="BB278" s="170"/>
      <c r="BC278" s="170"/>
      <c r="BD278" s="170"/>
      <c r="BE278" s="170"/>
      <c r="BF278" s="170"/>
      <c r="BG278" s="170"/>
      <c r="BH278" s="170"/>
      <c r="BI278" s="170"/>
      <c r="BJ278" s="170"/>
    </row>
    <row r="279" spans="2:62" ht="12.75">
      <c r="B279" s="170"/>
      <c r="C279" s="170"/>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c r="AY279" s="170"/>
      <c r="AZ279" s="170"/>
      <c r="BA279" s="170"/>
      <c r="BB279" s="170"/>
      <c r="BC279" s="170"/>
      <c r="BD279" s="170"/>
      <c r="BE279" s="170"/>
      <c r="BF279" s="170"/>
      <c r="BG279" s="170"/>
      <c r="BH279" s="170"/>
      <c r="BI279" s="170"/>
      <c r="BJ279" s="170"/>
    </row>
    <row r="280" spans="2:62" ht="12.75">
      <c r="B280" s="170"/>
      <c r="C280" s="170"/>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c r="AY280" s="170"/>
      <c r="AZ280" s="170"/>
      <c r="BA280" s="170"/>
      <c r="BB280" s="170"/>
      <c r="BC280" s="170"/>
      <c r="BD280" s="170"/>
      <c r="BE280" s="170"/>
      <c r="BF280" s="170"/>
      <c r="BG280" s="170"/>
      <c r="BH280" s="170"/>
      <c r="BI280" s="170"/>
      <c r="BJ280" s="170"/>
    </row>
    <row r="281" spans="2:62" ht="12.75">
      <c r="B281" s="170"/>
      <c r="C281" s="170"/>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c r="AY281" s="170"/>
      <c r="AZ281" s="170"/>
      <c r="BA281" s="170"/>
      <c r="BB281" s="170"/>
      <c r="BC281" s="170"/>
      <c r="BD281" s="170"/>
      <c r="BE281" s="170"/>
      <c r="BF281" s="170"/>
      <c r="BG281" s="170"/>
      <c r="BH281" s="170"/>
      <c r="BI281" s="170"/>
      <c r="BJ281" s="170"/>
    </row>
    <row r="282" spans="2:62" ht="12.75">
      <c r="B282" s="170"/>
      <c r="C282" s="170"/>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c r="AY282" s="170"/>
      <c r="AZ282" s="170"/>
      <c r="BA282" s="170"/>
      <c r="BB282" s="170"/>
      <c r="BC282" s="170"/>
      <c r="BD282" s="170"/>
      <c r="BE282" s="170"/>
      <c r="BF282" s="170"/>
      <c r="BG282" s="170"/>
      <c r="BH282" s="170"/>
      <c r="BI282" s="170"/>
      <c r="BJ282" s="170"/>
    </row>
    <row r="283" spans="2:62" ht="12.75">
      <c r="B283" s="170"/>
      <c r="C283" s="170"/>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c r="AY283" s="170"/>
      <c r="AZ283" s="170"/>
      <c r="BA283" s="170"/>
      <c r="BB283" s="170"/>
      <c r="BC283" s="170"/>
      <c r="BD283" s="170"/>
      <c r="BE283" s="170"/>
      <c r="BF283" s="170"/>
      <c r="BG283" s="170"/>
      <c r="BH283" s="170"/>
      <c r="BI283" s="170"/>
      <c r="BJ283" s="170"/>
    </row>
    <row r="284" spans="2:62" ht="12.75">
      <c r="B284" s="170"/>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c r="AY284" s="170"/>
      <c r="AZ284" s="170"/>
      <c r="BA284" s="170"/>
      <c r="BB284" s="170"/>
      <c r="BC284" s="170"/>
      <c r="BD284" s="170"/>
      <c r="BE284" s="170"/>
      <c r="BF284" s="170"/>
      <c r="BG284" s="170"/>
      <c r="BH284" s="170"/>
      <c r="BI284" s="170"/>
      <c r="BJ284" s="170"/>
    </row>
    <row r="285" spans="2:62" ht="12.75">
      <c r="B285" s="170"/>
      <c r="C285" s="170"/>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row>
    <row r="286" spans="2:62" ht="12.75">
      <c r="B286" s="170"/>
      <c r="C286" s="170"/>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c r="AY286" s="170"/>
      <c r="AZ286" s="170"/>
      <c r="BA286" s="170"/>
      <c r="BB286" s="170"/>
      <c r="BC286" s="170"/>
      <c r="BD286" s="170"/>
      <c r="BE286" s="170"/>
      <c r="BF286" s="170"/>
      <c r="BG286" s="170"/>
      <c r="BH286" s="170"/>
      <c r="BI286" s="170"/>
      <c r="BJ286" s="170"/>
    </row>
    <row r="287" spans="2:62" ht="12.75">
      <c r="B287" s="170"/>
      <c r="C287" s="170"/>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c r="AY287" s="170"/>
      <c r="AZ287" s="170"/>
      <c r="BA287" s="170"/>
      <c r="BB287" s="170"/>
      <c r="BC287" s="170"/>
      <c r="BD287" s="170"/>
      <c r="BE287" s="170"/>
      <c r="BF287" s="170"/>
      <c r="BG287" s="170"/>
      <c r="BH287" s="170"/>
      <c r="BI287" s="170"/>
      <c r="BJ287" s="170"/>
    </row>
    <row r="288" spans="2:62" ht="12.75">
      <c r="B288" s="170"/>
      <c r="C288" s="170"/>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c r="AY288" s="170"/>
      <c r="AZ288" s="170"/>
      <c r="BA288" s="170"/>
      <c r="BB288" s="170"/>
      <c r="BC288" s="170"/>
      <c r="BD288" s="170"/>
      <c r="BE288" s="170"/>
      <c r="BF288" s="170"/>
      <c r="BG288" s="170"/>
      <c r="BH288" s="170"/>
      <c r="BI288" s="170"/>
      <c r="BJ288" s="170"/>
    </row>
    <row r="289" spans="2:62" ht="12.75">
      <c r="B289" s="170"/>
      <c r="C289" s="170"/>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c r="AY289" s="170"/>
      <c r="AZ289" s="170"/>
      <c r="BA289" s="170"/>
      <c r="BB289" s="170"/>
      <c r="BC289" s="170"/>
      <c r="BD289" s="170"/>
      <c r="BE289" s="170"/>
      <c r="BF289" s="170"/>
      <c r="BG289" s="170"/>
      <c r="BH289" s="170"/>
      <c r="BI289" s="170"/>
      <c r="BJ289" s="170"/>
    </row>
    <row r="290" spans="2:62" ht="12.75">
      <c r="B290" s="170"/>
      <c r="C290" s="170"/>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c r="AY290" s="170"/>
      <c r="AZ290" s="170"/>
      <c r="BA290" s="170"/>
      <c r="BB290" s="170"/>
      <c r="BC290" s="170"/>
      <c r="BD290" s="170"/>
      <c r="BE290" s="170"/>
      <c r="BF290" s="170"/>
      <c r="BG290" s="170"/>
      <c r="BH290" s="170"/>
      <c r="BI290" s="170"/>
      <c r="BJ290" s="170"/>
    </row>
    <row r="291" spans="2:62" ht="12.75">
      <c r="B291" s="170"/>
      <c r="C291" s="170"/>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c r="AY291" s="170"/>
      <c r="AZ291" s="170"/>
      <c r="BA291" s="170"/>
      <c r="BB291" s="170"/>
      <c r="BC291" s="170"/>
      <c r="BD291" s="170"/>
      <c r="BE291" s="170"/>
      <c r="BF291" s="170"/>
      <c r="BG291" s="170"/>
      <c r="BH291" s="170"/>
      <c r="BI291" s="170"/>
      <c r="BJ291" s="170"/>
    </row>
    <row r="292" spans="2:62" ht="12.75">
      <c r="B292" s="170"/>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170"/>
      <c r="BD292" s="170"/>
      <c r="BE292" s="170"/>
      <c r="BF292" s="170"/>
      <c r="BG292" s="170"/>
      <c r="BH292" s="170"/>
      <c r="BI292" s="170"/>
      <c r="BJ292" s="170"/>
    </row>
    <row r="293" spans="2:62" ht="12.75">
      <c r="B293" s="170"/>
      <c r="C293" s="170"/>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c r="AY293" s="170"/>
      <c r="AZ293" s="170"/>
      <c r="BA293" s="170"/>
      <c r="BB293" s="170"/>
      <c r="BC293" s="170"/>
      <c r="BD293" s="170"/>
      <c r="BE293" s="170"/>
      <c r="BF293" s="170"/>
      <c r="BG293" s="170"/>
      <c r="BH293" s="170"/>
      <c r="BI293" s="170"/>
      <c r="BJ293" s="170"/>
    </row>
    <row r="294" spans="2:62" ht="12.75">
      <c r="B294" s="170"/>
      <c r="C294" s="170"/>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c r="AY294" s="170"/>
      <c r="AZ294" s="170"/>
      <c r="BA294" s="170"/>
      <c r="BB294" s="170"/>
      <c r="BC294" s="170"/>
      <c r="BD294" s="170"/>
      <c r="BE294" s="170"/>
      <c r="BF294" s="170"/>
      <c r="BG294" s="170"/>
      <c r="BH294" s="170"/>
      <c r="BI294" s="170"/>
      <c r="BJ294" s="170"/>
    </row>
    <row r="295" spans="2:62" ht="12.75">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c r="AY295" s="170"/>
      <c r="AZ295" s="170"/>
      <c r="BA295" s="170"/>
      <c r="BB295" s="170"/>
      <c r="BC295" s="170"/>
      <c r="BD295" s="170"/>
      <c r="BE295" s="170"/>
      <c r="BF295" s="170"/>
      <c r="BG295" s="170"/>
      <c r="BH295" s="170"/>
      <c r="BI295" s="170"/>
      <c r="BJ295" s="170"/>
    </row>
    <row r="296" spans="2:62" ht="12.75">
      <c r="B296" s="170"/>
      <c r="C296" s="170"/>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170"/>
      <c r="BD296" s="170"/>
      <c r="BE296" s="170"/>
      <c r="BF296" s="170"/>
      <c r="BG296" s="170"/>
      <c r="BH296" s="170"/>
      <c r="BI296" s="170"/>
      <c r="BJ296" s="170"/>
    </row>
    <row r="297" spans="2:62" ht="12.75">
      <c r="B297" s="170"/>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c r="AY297" s="170"/>
      <c r="AZ297" s="170"/>
      <c r="BA297" s="170"/>
      <c r="BB297" s="170"/>
      <c r="BC297" s="170"/>
      <c r="BD297" s="170"/>
      <c r="BE297" s="170"/>
      <c r="BF297" s="170"/>
      <c r="BG297" s="170"/>
      <c r="BH297" s="170"/>
      <c r="BI297" s="170"/>
      <c r="BJ297" s="170"/>
    </row>
    <row r="298" spans="2:62" ht="12.75">
      <c r="B298" s="170"/>
      <c r="C298" s="170"/>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c r="AY298" s="170"/>
      <c r="AZ298" s="170"/>
      <c r="BA298" s="170"/>
      <c r="BB298" s="170"/>
      <c r="BC298" s="170"/>
      <c r="BD298" s="170"/>
      <c r="BE298" s="170"/>
      <c r="BF298" s="170"/>
      <c r="BG298" s="170"/>
      <c r="BH298" s="170"/>
      <c r="BI298" s="170"/>
      <c r="BJ298" s="170"/>
    </row>
    <row r="299" spans="2:62" ht="12.75">
      <c r="B299" s="170"/>
      <c r="C299" s="170"/>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c r="AY299" s="170"/>
      <c r="AZ299" s="170"/>
      <c r="BA299" s="170"/>
      <c r="BB299" s="170"/>
      <c r="BC299" s="170"/>
      <c r="BD299" s="170"/>
      <c r="BE299" s="170"/>
      <c r="BF299" s="170"/>
      <c r="BG299" s="170"/>
      <c r="BH299" s="170"/>
      <c r="BI299" s="170"/>
      <c r="BJ299" s="170"/>
    </row>
    <row r="300" spans="2:62" ht="12.75">
      <c r="B300" s="170"/>
      <c r="C300" s="170"/>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170"/>
      <c r="BD300" s="170"/>
      <c r="BE300" s="170"/>
      <c r="BF300" s="170"/>
      <c r="BG300" s="170"/>
      <c r="BH300" s="170"/>
      <c r="BI300" s="170"/>
      <c r="BJ300" s="170"/>
    </row>
    <row r="301" spans="2:62" ht="12.75">
      <c r="B301" s="170"/>
      <c r="C301" s="170"/>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170"/>
      <c r="BD301" s="170"/>
      <c r="BE301" s="170"/>
      <c r="BF301" s="170"/>
      <c r="BG301" s="170"/>
      <c r="BH301" s="170"/>
      <c r="BI301" s="170"/>
      <c r="BJ301" s="170"/>
    </row>
    <row r="302" spans="2:62" ht="12.75">
      <c r="B302" s="170"/>
      <c r="C302" s="170"/>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c r="AY302" s="170"/>
      <c r="AZ302" s="170"/>
      <c r="BA302" s="170"/>
      <c r="BB302" s="170"/>
      <c r="BC302" s="170"/>
      <c r="BD302" s="170"/>
      <c r="BE302" s="170"/>
      <c r="BF302" s="170"/>
      <c r="BG302" s="170"/>
      <c r="BH302" s="170"/>
      <c r="BI302" s="170"/>
      <c r="BJ302" s="170"/>
    </row>
    <row r="303" spans="2:62" ht="12.75">
      <c r="B303" s="170"/>
      <c r="C303" s="170"/>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c r="AY303" s="170"/>
      <c r="AZ303" s="170"/>
      <c r="BA303" s="170"/>
      <c r="BB303" s="170"/>
      <c r="BC303" s="170"/>
      <c r="BD303" s="170"/>
      <c r="BE303" s="170"/>
      <c r="BF303" s="170"/>
      <c r="BG303" s="170"/>
      <c r="BH303" s="170"/>
      <c r="BI303" s="170"/>
      <c r="BJ303" s="170"/>
    </row>
    <row r="304" spans="2:62" ht="12.75">
      <c r="B304" s="170"/>
      <c r="C304" s="170"/>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c r="AY304" s="170"/>
      <c r="AZ304" s="170"/>
      <c r="BA304" s="170"/>
      <c r="BB304" s="170"/>
      <c r="BC304" s="170"/>
      <c r="BD304" s="170"/>
      <c r="BE304" s="170"/>
      <c r="BF304" s="170"/>
      <c r="BG304" s="170"/>
      <c r="BH304" s="170"/>
      <c r="BI304" s="170"/>
      <c r="BJ304" s="170"/>
    </row>
    <row r="305" spans="2:62" ht="12.75">
      <c r="B305" s="170"/>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c r="AY305" s="170"/>
      <c r="AZ305" s="170"/>
      <c r="BA305" s="170"/>
      <c r="BB305" s="170"/>
      <c r="BC305" s="170"/>
      <c r="BD305" s="170"/>
      <c r="BE305" s="170"/>
      <c r="BF305" s="170"/>
      <c r="BG305" s="170"/>
      <c r="BH305" s="170"/>
      <c r="BI305" s="170"/>
      <c r="BJ305" s="170"/>
    </row>
    <row r="306" spans="2:62" ht="12.75">
      <c r="B306" s="170"/>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c r="AY306" s="170"/>
      <c r="AZ306" s="170"/>
      <c r="BA306" s="170"/>
      <c r="BB306" s="170"/>
      <c r="BC306" s="170"/>
      <c r="BD306" s="170"/>
      <c r="BE306" s="170"/>
      <c r="BF306" s="170"/>
      <c r="BG306" s="170"/>
      <c r="BH306" s="170"/>
      <c r="BI306" s="170"/>
      <c r="BJ306" s="170"/>
    </row>
    <row r="307" spans="2:62" ht="12.75">
      <c r="B307" s="170"/>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c r="AY307" s="170"/>
      <c r="AZ307" s="170"/>
      <c r="BA307" s="170"/>
      <c r="BB307" s="170"/>
      <c r="BC307" s="170"/>
      <c r="BD307" s="170"/>
      <c r="BE307" s="170"/>
      <c r="BF307" s="170"/>
      <c r="BG307" s="170"/>
      <c r="BH307" s="170"/>
      <c r="BI307" s="170"/>
      <c r="BJ307" s="170"/>
    </row>
    <row r="308" spans="2:62" ht="12.75">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c r="AY308" s="170"/>
      <c r="AZ308" s="170"/>
      <c r="BA308" s="170"/>
      <c r="BB308" s="170"/>
      <c r="BC308" s="170"/>
      <c r="BD308" s="170"/>
      <c r="BE308" s="170"/>
      <c r="BF308" s="170"/>
      <c r="BG308" s="170"/>
      <c r="BH308" s="170"/>
      <c r="BI308" s="170"/>
      <c r="BJ308" s="170"/>
    </row>
    <row r="309" spans="2:62" ht="12.75">
      <c r="B309" s="170"/>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c r="AY309" s="170"/>
      <c r="AZ309" s="170"/>
      <c r="BA309" s="170"/>
      <c r="BB309" s="170"/>
      <c r="BC309" s="170"/>
      <c r="BD309" s="170"/>
      <c r="BE309" s="170"/>
      <c r="BF309" s="170"/>
      <c r="BG309" s="170"/>
      <c r="BH309" s="170"/>
      <c r="BI309" s="170"/>
      <c r="BJ309" s="170"/>
    </row>
    <row r="310" spans="2:62" ht="12.75">
      <c r="B310" s="170"/>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c r="AY310" s="170"/>
      <c r="AZ310" s="170"/>
      <c r="BA310" s="170"/>
      <c r="BB310" s="170"/>
      <c r="BC310" s="170"/>
      <c r="BD310" s="170"/>
      <c r="BE310" s="170"/>
      <c r="BF310" s="170"/>
      <c r="BG310" s="170"/>
      <c r="BH310" s="170"/>
      <c r="BI310" s="170"/>
      <c r="BJ310" s="170"/>
    </row>
    <row r="311" spans="2:62" ht="12.75">
      <c r="B311" s="170"/>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c r="AY311" s="170"/>
      <c r="AZ311" s="170"/>
      <c r="BA311" s="170"/>
      <c r="BB311" s="170"/>
      <c r="BC311" s="170"/>
      <c r="BD311" s="170"/>
      <c r="BE311" s="170"/>
      <c r="BF311" s="170"/>
      <c r="BG311" s="170"/>
      <c r="BH311" s="170"/>
      <c r="BI311" s="170"/>
      <c r="BJ311" s="170"/>
    </row>
    <row r="312" spans="2:62" ht="12.75">
      <c r="B312" s="170"/>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c r="AY312" s="170"/>
      <c r="AZ312" s="170"/>
      <c r="BA312" s="170"/>
      <c r="BB312" s="170"/>
      <c r="BC312" s="170"/>
      <c r="BD312" s="170"/>
      <c r="BE312" s="170"/>
      <c r="BF312" s="170"/>
      <c r="BG312" s="170"/>
      <c r="BH312" s="170"/>
      <c r="BI312" s="170"/>
      <c r="BJ312" s="170"/>
    </row>
    <row r="313" spans="2:62" ht="12.75">
      <c r="B313" s="170"/>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c r="AY313" s="170"/>
      <c r="AZ313" s="170"/>
      <c r="BA313" s="170"/>
      <c r="BB313" s="170"/>
      <c r="BC313" s="170"/>
      <c r="BD313" s="170"/>
      <c r="BE313" s="170"/>
      <c r="BF313" s="170"/>
      <c r="BG313" s="170"/>
      <c r="BH313" s="170"/>
      <c r="BI313" s="170"/>
      <c r="BJ313" s="170"/>
    </row>
    <row r="314" spans="2:62" ht="12.75">
      <c r="B314" s="170"/>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c r="AY314" s="170"/>
      <c r="AZ314" s="170"/>
      <c r="BA314" s="170"/>
      <c r="BB314" s="170"/>
      <c r="BC314" s="170"/>
      <c r="BD314" s="170"/>
      <c r="BE314" s="170"/>
      <c r="BF314" s="170"/>
      <c r="BG314" s="170"/>
      <c r="BH314" s="170"/>
      <c r="BI314" s="170"/>
      <c r="BJ314" s="170"/>
    </row>
    <row r="315" spans="2:62" ht="12.75">
      <c r="B315" s="170"/>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c r="AY315" s="170"/>
      <c r="AZ315" s="170"/>
      <c r="BA315" s="170"/>
      <c r="BB315" s="170"/>
      <c r="BC315" s="170"/>
      <c r="BD315" s="170"/>
      <c r="BE315" s="170"/>
      <c r="BF315" s="170"/>
      <c r="BG315" s="170"/>
      <c r="BH315" s="170"/>
      <c r="BI315" s="170"/>
      <c r="BJ315" s="170"/>
    </row>
    <row r="316" spans="2:62" ht="12.75">
      <c r="B316" s="170"/>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c r="AY316" s="170"/>
      <c r="AZ316" s="170"/>
      <c r="BA316" s="170"/>
      <c r="BB316" s="170"/>
      <c r="BC316" s="170"/>
      <c r="BD316" s="170"/>
      <c r="BE316" s="170"/>
      <c r="BF316" s="170"/>
      <c r="BG316" s="170"/>
      <c r="BH316" s="170"/>
      <c r="BI316" s="170"/>
      <c r="BJ316" s="170"/>
    </row>
    <row r="317" spans="2:62" ht="12.75">
      <c r="B317" s="170"/>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row>
    <row r="318" spans="2:62" ht="12.75">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c r="AY318" s="170"/>
      <c r="AZ318" s="170"/>
      <c r="BA318" s="170"/>
      <c r="BB318" s="170"/>
      <c r="BC318" s="170"/>
      <c r="BD318" s="170"/>
      <c r="BE318" s="170"/>
      <c r="BF318" s="170"/>
      <c r="BG318" s="170"/>
      <c r="BH318" s="170"/>
      <c r="BI318" s="170"/>
      <c r="BJ318" s="170"/>
    </row>
    <row r="319" spans="2:62" ht="12.75">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c r="AY319" s="170"/>
      <c r="AZ319" s="170"/>
      <c r="BA319" s="170"/>
      <c r="BB319" s="170"/>
      <c r="BC319" s="170"/>
      <c r="BD319" s="170"/>
      <c r="BE319" s="170"/>
      <c r="BF319" s="170"/>
      <c r="BG319" s="170"/>
      <c r="BH319" s="170"/>
      <c r="BI319" s="170"/>
      <c r="BJ319" s="170"/>
    </row>
    <row r="320" spans="2:62" ht="12.75">
      <c r="B320" s="170"/>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c r="AY320" s="170"/>
      <c r="AZ320" s="170"/>
      <c r="BA320" s="170"/>
      <c r="BB320" s="170"/>
      <c r="BC320" s="170"/>
      <c r="BD320" s="170"/>
      <c r="BE320" s="170"/>
      <c r="BF320" s="170"/>
      <c r="BG320" s="170"/>
      <c r="BH320" s="170"/>
      <c r="BI320" s="170"/>
      <c r="BJ320" s="170"/>
    </row>
    <row r="321" spans="2:62" ht="12.75">
      <c r="B321" s="170"/>
      <c r="C321" s="170"/>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c r="AY321" s="170"/>
      <c r="AZ321" s="170"/>
      <c r="BA321" s="170"/>
      <c r="BB321" s="170"/>
      <c r="BC321" s="170"/>
      <c r="BD321" s="170"/>
      <c r="BE321" s="170"/>
      <c r="BF321" s="170"/>
      <c r="BG321" s="170"/>
      <c r="BH321" s="170"/>
      <c r="BI321" s="170"/>
      <c r="BJ321" s="170"/>
    </row>
    <row r="322" spans="2:62" ht="12.75">
      <c r="B322" s="170"/>
      <c r="C322" s="170"/>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c r="AY322" s="170"/>
      <c r="AZ322" s="170"/>
      <c r="BA322" s="170"/>
      <c r="BB322" s="170"/>
      <c r="BC322" s="170"/>
      <c r="BD322" s="170"/>
      <c r="BE322" s="170"/>
      <c r="BF322" s="170"/>
      <c r="BG322" s="170"/>
      <c r="BH322" s="170"/>
      <c r="BI322" s="170"/>
      <c r="BJ322" s="170"/>
    </row>
    <row r="323" spans="2:62" ht="12.75">
      <c r="B323" s="170"/>
      <c r="C323" s="170"/>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170"/>
      <c r="BD323" s="170"/>
      <c r="BE323" s="170"/>
      <c r="BF323" s="170"/>
      <c r="BG323" s="170"/>
      <c r="BH323" s="170"/>
      <c r="BI323" s="170"/>
      <c r="BJ323" s="170"/>
    </row>
    <row r="324" spans="2:62" ht="12.75">
      <c r="B324" s="170"/>
      <c r="C324" s="170"/>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c r="AY324" s="170"/>
      <c r="AZ324" s="170"/>
      <c r="BA324" s="170"/>
      <c r="BB324" s="170"/>
      <c r="BC324" s="170"/>
      <c r="BD324" s="170"/>
      <c r="BE324" s="170"/>
      <c r="BF324" s="170"/>
      <c r="BG324" s="170"/>
      <c r="BH324" s="170"/>
      <c r="BI324" s="170"/>
      <c r="BJ324" s="170"/>
    </row>
    <row r="325" spans="2:62" ht="12.75">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c r="AY325" s="170"/>
      <c r="AZ325" s="170"/>
      <c r="BA325" s="170"/>
      <c r="BB325" s="170"/>
      <c r="BC325" s="170"/>
      <c r="BD325" s="170"/>
      <c r="BE325" s="170"/>
      <c r="BF325" s="170"/>
      <c r="BG325" s="170"/>
      <c r="BH325" s="170"/>
      <c r="BI325" s="170"/>
      <c r="BJ325" s="170"/>
    </row>
    <row r="326" spans="2:62" ht="12.75">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c r="AY326" s="170"/>
      <c r="AZ326" s="170"/>
      <c r="BA326" s="170"/>
      <c r="BB326" s="170"/>
      <c r="BC326" s="170"/>
      <c r="BD326" s="170"/>
      <c r="BE326" s="170"/>
      <c r="BF326" s="170"/>
      <c r="BG326" s="170"/>
      <c r="BH326" s="170"/>
      <c r="BI326" s="170"/>
      <c r="BJ326" s="170"/>
    </row>
    <row r="327" spans="2:62" ht="12.75">
      <c r="B327" s="170"/>
      <c r="C327" s="170"/>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c r="AY327" s="170"/>
      <c r="AZ327" s="170"/>
      <c r="BA327" s="170"/>
      <c r="BB327" s="170"/>
      <c r="BC327" s="170"/>
      <c r="BD327" s="170"/>
      <c r="BE327" s="170"/>
      <c r="BF327" s="170"/>
      <c r="BG327" s="170"/>
      <c r="BH327" s="170"/>
      <c r="BI327" s="170"/>
      <c r="BJ327" s="170"/>
    </row>
    <row r="328" spans="2:62" ht="12.75">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c r="AY328" s="170"/>
      <c r="AZ328" s="170"/>
      <c r="BA328" s="170"/>
      <c r="BB328" s="170"/>
      <c r="BC328" s="170"/>
      <c r="BD328" s="170"/>
      <c r="BE328" s="170"/>
      <c r="BF328" s="170"/>
      <c r="BG328" s="170"/>
      <c r="BH328" s="170"/>
      <c r="BI328" s="170"/>
      <c r="BJ328" s="170"/>
    </row>
    <row r="329" spans="2:62" ht="12.75">
      <c r="B329" s="170"/>
      <c r="C329" s="170"/>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c r="AY329" s="170"/>
      <c r="AZ329" s="170"/>
      <c r="BA329" s="170"/>
      <c r="BB329" s="170"/>
      <c r="BC329" s="170"/>
      <c r="BD329" s="170"/>
      <c r="BE329" s="170"/>
      <c r="BF329" s="170"/>
      <c r="BG329" s="170"/>
      <c r="BH329" s="170"/>
      <c r="BI329" s="170"/>
      <c r="BJ329" s="170"/>
    </row>
    <row r="330" spans="2:62" ht="12.75">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c r="BD330" s="170"/>
      <c r="BE330" s="170"/>
      <c r="BF330" s="170"/>
      <c r="BG330" s="170"/>
      <c r="BH330" s="170"/>
      <c r="BI330" s="170"/>
      <c r="BJ330" s="170"/>
    </row>
    <row r="331" spans="2:62" ht="12.75">
      <c r="B331" s="170"/>
      <c r="C331" s="170"/>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c r="AY331" s="170"/>
      <c r="AZ331" s="170"/>
      <c r="BA331" s="170"/>
      <c r="BB331" s="170"/>
      <c r="BC331" s="170"/>
      <c r="BD331" s="170"/>
      <c r="BE331" s="170"/>
      <c r="BF331" s="170"/>
      <c r="BG331" s="170"/>
      <c r="BH331" s="170"/>
      <c r="BI331" s="170"/>
      <c r="BJ331" s="170"/>
    </row>
    <row r="332" spans="2:62" ht="12.75">
      <c r="B332" s="170"/>
      <c r="C332" s="170"/>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c r="AY332" s="170"/>
      <c r="AZ332" s="170"/>
      <c r="BA332" s="170"/>
      <c r="BB332" s="170"/>
      <c r="BC332" s="170"/>
      <c r="BD332" s="170"/>
      <c r="BE332" s="170"/>
      <c r="BF332" s="170"/>
      <c r="BG332" s="170"/>
      <c r="BH332" s="170"/>
      <c r="BI332" s="170"/>
      <c r="BJ332" s="170"/>
    </row>
    <row r="333" spans="2:62" ht="12.75">
      <c r="B333" s="170"/>
      <c r="C333" s="170"/>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c r="AY333" s="170"/>
      <c r="AZ333" s="170"/>
      <c r="BA333" s="170"/>
      <c r="BB333" s="170"/>
      <c r="BC333" s="170"/>
      <c r="BD333" s="170"/>
      <c r="BE333" s="170"/>
      <c r="BF333" s="170"/>
      <c r="BG333" s="170"/>
      <c r="BH333" s="170"/>
      <c r="BI333" s="170"/>
      <c r="BJ333" s="170"/>
    </row>
    <row r="334" spans="2:62" ht="12.75">
      <c r="B334" s="170"/>
      <c r="C334" s="170"/>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c r="AY334" s="170"/>
      <c r="AZ334" s="170"/>
      <c r="BA334" s="170"/>
      <c r="BB334" s="170"/>
      <c r="BC334" s="170"/>
      <c r="BD334" s="170"/>
      <c r="BE334" s="170"/>
      <c r="BF334" s="170"/>
      <c r="BG334" s="170"/>
      <c r="BH334" s="170"/>
      <c r="BI334" s="170"/>
      <c r="BJ334" s="170"/>
    </row>
    <row r="335" spans="2:62" ht="12.75">
      <c r="B335" s="170"/>
      <c r="C335" s="170"/>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c r="AY335" s="170"/>
      <c r="AZ335" s="170"/>
      <c r="BA335" s="170"/>
      <c r="BB335" s="170"/>
      <c r="BC335" s="170"/>
      <c r="BD335" s="170"/>
      <c r="BE335" s="170"/>
      <c r="BF335" s="170"/>
      <c r="BG335" s="170"/>
      <c r="BH335" s="170"/>
      <c r="BI335" s="170"/>
      <c r="BJ335" s="170"/>
    </row>
    <row r="336" spans="2:62" ht="12.75">
      <c r="B336" s="170"/>
      <c r="C336" s="170"/>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c r="AY336" s="170"/>
      <c r="AZ336" s="170"/>
      <c r="BA336" s="170"/>
      <c r="BB336" s="170"/>
      <c r="BC336" s="170"/>
      <c r="BD336" s="170"/>
      <c r="BE336" s="170"/>
      <c r="BF336" s="170"/>
      <c r="BG336" s="170"/>
      <c r="BH336" s="170"/>
      <c r="BI336" s="170"/>
      <c r="BJ336" s="170"/>
    </row>
    <row r="337" spans="2:62" ht="12.75">
      <c r="B337" s="170"/>
      <c r="C337" s="170"/>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70"/>
      <c r="BE337" s="170"/>
      <c r="BF337" s="170"/>
      <c r="BG337" s="170"/>
      <c r="BH337" s="170"/>
      <c r="BI337" s="170"/>
      <c r="BJ337" s="170"/>
    </row>
    <row r="338" spans="2:62" ht="12.75">
      <c r="B338" s="170"/>
      <c r="C338" s="170"/>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row>
    <row r="339" spans="2:62" ht="12.75">
      <c r="B339" s="170"/>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70"/>
      <c r="BE339" s="170"/>
      <c r="BF339" s="170"/>
      <c r="BG339" s="170"/>
      <c r="BH339" s="170"/>
      <c r="BI339" s="170"/>
      <c r="BJ339" s="170"/>
    </row>
    <row r="340" spans="2:62" ht="12.75">
      <c r="B340" s="170"/>
      <c r="C340" s="170"/>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c r="BD340" s="170"/>
      <c r="BE340" s="170"/>
      <c r="BF340" s="170"/>
      <c r="BG340" s="170"/>
      <c r="BH340" s="170"/>
      <c r="BI340" s="170"/>
      <c r="BJ340" s="170"/>
    </row>
    <row r="341" spans="2:62" ht="12.75">
      <c r="B341" s="170"/>
      <c r="C341" s="170"/>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c r="AY341" s="170"/>
      <c r="AZ341" s="170"/>
      <c r="BA341" s="170"/>
      <c r="BB341" s="170"/>
      <c r="BC341" s="170"/>
      <c r="BD341" s="170"/>
      <c r="BE341" s="170"/>
      <c r="BF341" s="170"/>
      <c r="BG341" s="170"/>
      <c r="BH341" s="170"/>
      <c r="BI341" s="170"/>
      <c r="BJ341" s="170"/>
    </row>
    <row r="342" spans="2:62" ht="12.75">
      <c r="B342" s="170"/>
      <c r="C342" s="170"/>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c r="AY342" s="170"/>
      <c r="AZ342" s="170"/>
      <c r="BA342" s="170"/>
      <c r="BB342" s="170"/>
      <c r="BC342" s="170"/>
      <c r="BD342" s="170"/>
      <c r="BE342" s="170"/>
      <c r="BF342" s="170"/>
      <c r="BG342" s="170"/>
      <c r="BH342" s="170"/>
      <c r="BI342" s="170"/>
      <c r="BJ342" s="170"/>
    </row>
    <row r="343" spans="2:62" ht="12.75">
      <c r="B343" s="170"/>
      <c r="C343" s="170"/>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c r="AY343" s="170"/>
      <c r="AZ343" s="170"/>
      <c r="BA343" s="170"/>
      <c r="BB343" s="170"/>
      <c r="BC343" s="170"/>
      <c r="BD343" s="170"/>
      <c r="BE343" s="170"/>
      <c r="BF343" s="170"/>
      <c r="BG343" s="170"/>
      <c r="BH343" s="170"/>
      <c r="BI343" s="170"/>
      <c r="BJ343" s="170"/>
    </row>
    <row r="344" spans="2:62" ht="12.75">
      <c r="B344" s="170"/>
      <c r="C344" s="170"/>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c r="AY344" s="170"/>
      <c r="AZ344" s="170"/>
      <c r="BA344" s="170"/>
      <c r="BB344" s="170"/>
      <c r="BC344" s="170"/>
      <c r="BD344" s="170"/>
      <c r="BE344" s="170"/>
      <c r="BF344" s="170"/>
      <c r="BG344" s="170"/>
      <c r="BH344" s="170"/>
      <c r="BI344" s="170"/>
      <c r="BJ344" s="170"/>
    </row>
    <row r="345" spans="2:62" ht="12.75">
      <c r="B345" s="170"/>
      <c r="C345" s="170"/>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c r="AY345" s="170"/>
      <c r="AZ345" s="170"/>
      <c r="BA345" s="170"/>
      <c r="BB345" s="170"/>
      <c r="BC345" s="170"/>
      <c r="BD345" s="170"/>
      <c r="BE345" s="170"/>
      <c r="BF345" s="170"/>
      <c r="BG345" s="170"/>
      <c r="BH345" s="170"/>
      <c r="BI345" s="170"/>
      <c r="BJ345" s="170"/>
    </row>
    <row r="346" spans="2:62" ht="12.75">
      <c r="B346" s="170"/>
      <c r="C346" s="170"/>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row>
    <row r="347" spans="2:62" ht="12.75">
      <c r="B347" s="170"/>
      <c r="C347" s="170"/>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row>
    <row r="348" spans="2:62" ht="12.75">
      <c r="B348" s="170"/>
      <c r="C348" s="170"/>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row>
    <row r="349" spans="2:62" ht="12.75">
      <c r="B349" s="170"/>
      <c r="C349" s="170"/>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c r="AY349" s="170"/>
      <c r="AZ349" s="170"/>
      <c r="BA349" s="170"/>
      <c r="BB349" s="170"/>
      <c r="BC349" s="170"/>
      <c r="BD349" s="170"/>
      <c r="BE349" s="170"/>
      <c r="BF349" s="170"/>
      <c r="BG349" s="170"/>
      <c r="BH349" s="170"/>
      <c r="BI349" s="170"/>
      <c r="BJ349" s="170"/>
    </row>
    <row r="350" spans="2:62" ht="12.75">
      <c r="B350" s="170"/>
      <c r="C350" s="170"/>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c r="AY350" s="170"/>
      <c r="AZ350" s="170"/>
      <c r="BA350" s="170"/>
      <c r="BB350" s="170"/>
      <c r="BC350" s="170"/>
      <c r="BD350" s="170"/>
      <c r="BE350" s="170"/>
      <c r="BF350" s="170"/>
      <c r="BG350" s="170"/>
      <c r="BH350" s="170"/>
      <c r="BI350" s="170"/>
      <c r="BJ350" s="170"/>
    </row>
    <row r="351" spans="2:62" ht="12.75">
      <c r="B351" s="170"/>
      <c r="C351" s="170"/>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c r="AY351" s="170"/>
      <c r="AZ351" s="170"/>
      <c r="BA351" s="170"/>
      <c r="BB351" s="170"/>
      <c r="BC351" s="170"/>
      <c r="BD351" s="170"/>
      <c r="BE351" s="170"/>
      <c r="BF351" s="170"/>
      <c r="BG351" s="170"/>
      <c r="BH351" s="170"/>
      <c r="BI351" s="170"/>
      <c r="BJ351" s="170"/>
    </row>
    <row r="352" spans="2:62" ht="12.75">
      <c r="B352" s="170"/>
      <c r="C352" s="170"/>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c r="AY352" s="170"/>
      <c r="AZ352" s="170"/>
      <c r="BA352" s="170"/>
      <c r="BB352" s="170"/>
      <c r="BC352" s="170"/>
      <c r="BD352" s="170"/>
      <c r="BE352" s="170"/>
      <c r="BF352" s="170"/>
      <c r="BG352" s="170"/>
      <c r="BH352" s="170"/>
      <c r="BI352" s="170"/>
      <c r="BJ352" s="170"/>
    </row>
    <row r="353" spans="2:62" ht="12.75">
      <c r="B353" s="170"/>
      <c r="C353" s="170"/>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row>
    <row r="354" spans="2:62" ht="12.75">
      <c r="B354" s="170"/>
      <c r="C354" s="170"/>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row>
    <row r="355" spans="2:62" ht="12.75">
      <c r="B355" s="170"/>
      <c r="C355" s="170"/>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c r="AY355" s="170"/>
      <c r="AZ355" s="170"/>
      <c r="BA355" s="170"/>
      <c r="BB355" s="170"/>
      <c r="BC355" s="170"/>
      <c r="BD355" s="170"/>
      <c r="BE355" s="170"/>
      <c r="BF355" s="170"/>
      <c r="BG355" s="170"/>
      <c r="BH355" s="170"/>
      <c r="BI355" s="170"/>
      <c r="BJ355" s="170"/>
    </row>
    <row r="356" spans="2:62" ht="12.75">
      <c r="B356" s="170"/>
      <c r="C356" s="170"/>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c r="AY356" s="170"/>
      <c r="AZ356" s="170"/>
      <c r="BA356" s="170"/>
      <c r="BB356" s="170"/>
      <c r="BC356" s="170"/>
      <c r="BD356" s="170"/>
      <c r="BE356" s="170"/>
      <c r="BF356" s="170"/>
      <c r="BG356" s="170"/>
      <c r="BH356" s="170"/>
      <c r="BI356" s="170"/>
      <c r="BJ356" s="170"/>
    </row>
    <row r="357" spans="2:62" ht="12.75">
      <c r="B357" s="170"/>
      <c r="C357" s="170"/>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c r="AY357" s="170"/>
      <c r="AZ357" s="170"/>
      <c r="BA357" s="170"/>
      <c r="BB357" s="170"/>
      <c r="BC357" s="170"/>
      <c r="BD357" s="170"/>
      <c r="BE357" s="170"/>
      <c r="BF357" s="170"/>
      <c r="BG357" s="170"/>
      <c r="BH357" s="170"/>
      <c r="BI357" s="170"/>
      <c r="BJ357" s="170"/>
    </row>
    <row r="358" spans="2:62" ht="12.75">
      <c r="B358" s="170"/>
      <c r="C358" s="170"/>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c r="AY358" s="170"/>
      <c r="AZ358" s="170"/>
      <c r="BA358" s="170"/>
      <c r="BB358" s="170"/>
      <c r="BC358" s="170"/>
      <c r="BD358" s="170"/>
      <c r="BE358" s="170"/>
      <c r="BF358" s="170"/>
      <c r="BG358" s="170"/>
      <c r="BH358" s="170"/>
      <c r="BI358" s="170"/>
      <c r="BJ358" s="170"/>
    </row>
    <row r="359" spans="2:62" ht="12.75">
      <c r="B359" s="170"/>
      <c r="C359" s="170"/>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c r="AY359" s="170"/>
      <c r="AZ359" s="170"/>
      <c r="BA359" s="170"/>
      <c r="BB359" s="170"/>
      <c r="BC359" s="170"/>
      <c r="BD359" s="170"/>
      <c r="BE359" s="170"/>
      <c r="BF359" s="170"/>
      <c r="BG359" s="170"/>
      <c r="BH359" s="170"/>
      <c r="BI359" s="170"/>
      <c r="BJ359" s="170"/>
    </row>
    <row r="360" spans="2:62" ht="12.75">
      <c r="B360" s="170"/>
      <c r="C360" s="170"/>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c r="AY360" s="170"/>
      <c r="AZ360" s="170"/>
      <c r="BA360" s="170"/>
      <c r="BB360" s="170"/>
      <c r="BC360" s="170"/>
      <c r="BD360" s="170"/>
      <c r="BE360" s="170"/>
      <c r="BF360" s="170"/>
      <c r="BG360" s="170"/>
      <c r="BH360" s="170"/>
      <c r="BI360" s="170"/>
      <c r="BJ360" s="170"/>
    </row>
    <row r="361" spans="2:62" ht="12.75">
      <c r="B361" s="170"/>
      <c r="C361" s="170"/>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c r="AY361" s="170"/>
      <c r="AZ361" s="170"/>
      <c r="BA361" s="170"/>
      <c r="BB361" s="170"/>
      <c r="BC361" s="170"/>
      <c r="BD361" s="170"/>
      <c r="BE361" s="170"/>
      <c r="BF361" s="170"/>
      <c r="BG361" s="170"/>
      <c r="BH361" s="170"/>
      <c r="BI361" s="170"/>
      <c r="BJ361" s="170"/>
    </row>
    <row r="362" spans="2:62" ht="12.75">
      <c r="B362" s="170"/>
      <c r="C362" s="170"/>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c r="AY362" s="170"/>
      <c r="AZ362" s="170"/>
      <c r="BA362" s="170"/>
      <c r="BB362" s="170"/>
      <c r="BC362" s="170"/>
      <c r="BD362" s="170"/>
      <c r="BE362" s="170"/>
      <c r="BF362" s="170"/>
      <c r="BG362" s="170"/>
      <c r="BH362" s="170"/>
      <c r="BI362" s="170"/>
      <c r="BJ362" s="170"/>
    </row>
    <row r="363" spans="2:62" ht="12.75">
      <c r="B363" s="170"/>
      <c r="C363" s="170"/>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c r="AY363" s="170"/>
      <c r="AZ363" s="170"/>
      <c r="BA363" s="170"/>
      <c r="BB363" s="170"/>
      <c r="BC363" s="170"/>
      <c r="BD363" s="170"/>
      <c r="BE363" s="170"/>
      <c r="BF363" s="170"/>
      <c r="BG363" s="170"/>
      <c r="BH363" s="170"/>
      <c r="BI363" s="170"/>
      <c r="BJ363" s="170"/>
    </row>
    <row r="364" spans="2:62" ht="12.75">
      <c r="B364" s="170"/>
      <c r="C364" s="170"/>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row>
    <row r="365" spans="2:62" ht="12.75">
      <c r="B365" s="170"/>
      <c r="C365" s="170"/>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c r="AY365" s="170"/>
      <c r="AZ365" s="170"/>
      <c r="BA365" s="170"/>
      <c r="BB365" s="170"/>
      <c r="BC365" s="170"/>
      <c r="BD365" s="170"/>
      <c r="BE365" s="170"/>
      <c r="BF365" s="170"/>
      <c r="BG365" s="170"/>
      <c r="BH365" s="170"/>
      <c r="BI365" s="170"/>
      <c r="BJ365" s="170"/>
    </row>
    <row r="366" spans="2:62" ht="12.75">
      <c r="B366" s="170"/>
      <c r="C366" s="170"/>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c r="AY366" s="170"/>
      <c r="AZ366" s="170"/>
      <c r="BA366" s="170"/>
      <c r="BB366" s="170"/>
      <c r="BC366" s="170"/>
      <c r="BD366" s="170"/>
      <c r="BE366" s="170"/>
      <c r="BF366" s="170"/>
      <c r="BG366" s="170"/>
      <c r="BH366" s="170"/>
      <c r="BI366" s="170"/>
      <c r="BJ366" s="170"/>
    </row>
    <row r="367" spans="2:62" ht="12.75">
      <c r="B367" s="170"/>
      <c r="C367" s="170"/>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c r="AY367" s="170"/>
      <c r="AZ367" s="170"/>
      <c r="BA367" s="170"/>
      <c r="BB367" s="170"/>
      <c r="BC367" s="170"/>
      <c r="BD367" s="170"/>
      <c r="BE367" s="170"/>
      <c r="BF367" s="170"/>
      <c r="BG367" s="170"/>
      <c r="BH367" s="170"/>
      <c r="BI367" s="170"/>
      <c r="BJ367" s="170"/>
    </row>
    <row r="368" spans="2:62" ht="12.75">
      <c r="B368" s="170"/>
      <c r="C368" s="170"/>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c r="AY368" s="170"/>
      <c r="AZ368" s="170"/>
      <c r="BA368" s="170"/>
      <c r="BB368" s="170"/>
      <c r="BC368" s="170"/>
      <c r="BD368" s="170"/>
      <c r="BE368" s="170"/>
      <c r="BF368" s="170"/>
      <c r="BG368" s="170"/>
      <c r="BH368" s="170"/>
      <c r="BI368" s="170"/>
      <c r="BJ368" s="170"/>
    </row>
    <row r="369" spans="2:62" ht="12.75">
      <c r="B369" s="170"/>
      <c r="C369" s="170"/>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170"/>
      <c r="BD369" s="170"/>
      <c r="BE369" s="170"/>
      <c r="BF369" s="170"/>
      <c r="BG369" s="170"/>
      <c r="BH369" s="170"/>
      <c r="BI369" s="170"/>
      <c r="BJ369" s="170"/>
    </row>
    <row r="370" spans="2:62" ht="12.75">
      <c r="B370" s="170"/>
      <c r="C370" s="170"/>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c r="AY370" s="170"/>
      <c r="AZ370" s="170"/>
      <c r="BA370" s="170"/>
      <c r="BB370" s="170"/>
      <c r="BC370" s="170"/>
      <c r="BD370" s="170"/>
      <c r="BE370" s="170"/>
      <c r="BF370" s="170"/>
      <c r="BG370" s="170"/>
      <c r="BH370" s="170"/>
      <c r="BI370" s="170"/>
      <c r="BJ370" s="170"/>
    </row>
    <row r="371" spans="2:62" ht="12.75">
      <c r="B371" s="170"/>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c r="AY371" s="170"/>
      <c r="AZ371" s="170"/>
      <c r="BA371" s="170"/>
      <c r="BB371" s="170"/>
      <c r="BC371" s="170"/>
      <c r="BD371" s="170"/>
      <c r="BE371" s="170"/>
      <c r="BF371" s="170"/>
      <c r="BG371" s="170"/>
      <c r="BH371" s="170"/>
      <c r="BI371" s="170"/>
      <c r="BJ371" s="170"/>
    </row>
    <row r="372" spans="2:62" ht="12.75">
      <c r="B372" s="170"/>
      <c r="C372" s="170"/>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c r="AY372" s="170"/>
      <c r="AZ372" s="170"/>
      <c r="BA372" s="170"/>
      <c r="BB372" s="170"/>
      <c r="BC372" s="170"/>
      <c r="BD372" s="170"/>
      <c r="BE372" s="170"/>
      <c r="BF372" s="170"/>
      <c r="BG372" s="170"/>
      <c r="BH372" s="170"/>
      <c r="BI372" s="170"/>
      <c r="BJ372" s="170"/>
    </row>
    <row r="373" spans="2:62" ht="12.75">
      <c r="B373" s="170"/>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c r="AY373" s="170"/>
      <c r="AZ373" s="170"/>
      <c r="BA373" s="170"/>
      <c r="BB373" s="170"/>
      <c r="BC373" s="170"/>
      <c r="BD373" s="170"/>
      <c r="BE373" s="170"/>
      <c r="BF373" s="170"/>
      <c r="BG373" s="170"/>
      <c r="BH373" s="170"/>
      <c r="BI373" s="170"/>
      <c r="BJ373" s="170"/>
    </row>
    <row r="374" spans="2:62" ht="12.75">
      <c r="B374" s="170"/>
      <c r="C374" s="170"/>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c r="AY374" s="170"/>
      <c r="AZ374" s="170"/>
      <c r="BA374" s="170"/>
      <c r="BB374" s="170"/>
      <c r="BC374" s="170"/>
      <c r="BD374" s="170"/>
      <c r="BE374" s="170"/>
      <c r="BF374" s="170"/>
      <c r="BG374" s="170"/>
      <c r="BH374" s="170"/>
      <c r="BI374" s="170"/>
      <c r="BJ374" s="170"/>
    </row>
    <row r="375" spans="2:62" ht="12.75">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c r="BD375" s="170"/>
      <c r="BE375" s="170"/>
      <c r="BF375" s="170"/>
      <c r="BG375" s="170"/>
      <c r="BH375" s="170"/>
      <c r="BI375" s="170"/>
      <c r="BJ375" s="170"/>
    </row>
    <row r="376" spans="2:62" ht="12.75">
      <c r="B376" s="170"/>
      <c r="C376" s="170"/>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c r="AY376" s="170"/>
      <c r="AZ376" s="170"/>
      <c r="BA376" s="170"/>
      <c r="BB376" s="170"/>
      <c r="BC376" s="170"/>
      <c r="BD376" s="170"/>
      <c r="BE376" s="170"/>
      <c r="BF376" s="170"/>
      <c r="BG376" s="170"/>
      <c r="BH376" s="170"/>
      <c r="BI376" s="170"/>
      <c r="BJ376" s="170"/>
    </row>
    <row r="377" spans="2:62" ht="12.75">
      <c r="B377" s="170"/>
      <c r="C377" s="170"/>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c r="AY377" s="170"/>
      <c r="AZ377" s="170"/>
      <c r="BA377" s="170"/>
      <c r="BB377" s="170"/>
      <c r="BC377" s="170"/>
      <c r="BD377" s="170"/>
      <c r="BE377" s="170"/>
      <c r="BF377" s="170"/>
      <c r="BG377" s="170"/>
      <c r="BH377" s="170"/>
      <c r="BI377" s="170"/>
      <c r="BJ377" s="170"/>
    </row>
    <row r="378" spans="2:62" ht="12.75">
      <c r="B378" s="170"/>
      <c r="C378" s="170"/>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c r="AY378" s="170"/>
      <c r="AZ378" s="170"/>
      <c r="BA378" s="170"/>
      <c r="BB378" s="170"/>
      <c r="BC378" s="170"/>
      <c r="BD378" s="170"/>
      <c r="BE378" s="170"/>
      <c r="BF378" s="170"/>
      <c r="BG378" s="170"/>
      <c r="BH378" s="170"/>
      <c r="BI378" s="170"/>
      <c r="BJ378" s="170"/>
    </row>
    <row r="379" spans="2:62" ht="12.75">
      <c r="B379" s="170"/>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c r="AZ379" s="170"/>
      <c r="BA379" s="170"/>
      <c r="BB379" s="170"/>
      <c r="BC379" s="170"/>
      <c r="BD379" s="170"/>
      <c r="BE379" s="170"/>
      <c r="BF379" s="170"/>
      <c r="BG379" s="170"/>
      <c r="BH379" s="170"/>
      <c r="BI379" s="170"/>
      <c r="BJ379" s="170"/>
    </row>
    <row r="380" spans="2:62" ht="12.75">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c r="AZ380" s="170"/>
      <c r="BA380" s="170"/>
      <c r="BB380" s="170"/>
      <c r="BC380" s="170"/>
      <c r="BD380" s="170"/>
      <c r="BE380" s="170"/>
      <c r="BF380" s="170"/>
      <c r="BG380" s="170"/>
      <c r="BH380" s="170"/>
      <c r="BI380" s="170"/>
      <c r="BJ380" s="170"/>
    </row>
    <row r="381" spans="2:62" ht="12.75">
      <c r="B381" s="170"/>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c r="AZ381" s="170"/>
      <c r="BA381" s="170"/>
      <c r="BB381" s="170"/>
      <c r="BC381" s="170"/>
      <c r="BD381" s="170"/>
      <c r="BE381" s="170"/>
      <c r="BF381" s="170"/>
      <c r="BG381" s="170"/>
      <c r="BH381" s="170"/>
      <c r="BI381" s="170"/>
      <c r="BJ381" s="170"/>
    </row>
    <row r="382" spans="2:62" ht="12.75">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c r="AZ382" s="170"/>
      <c r="BA382" s="170"/>
      <c r="BB382" s="170"/>
      <c r="BC382" s="170"/>
      <c r="BD382" s="170"/>
      <c r="BE382" s="170"/>
      <c r="BF382" s="170"/>
      <c r="BG382" s="170"/>
      <c r="BH382" s="170"/>
      <c r="BI382" s="170"/>
      <c r="BJ382" s="170"/>
    </row>
    <row r="383" spans="2:62" ht="12.75">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c r="BD383" s="170"/>
      <c r="BE383" s="170"/>
      <c r="BF383" s="170"/>
      <c r="BG383" s="170"/>
      <c r="BH383" s="170"/>
      <c r="BI383" s="170"/>
      <c r="BJ383" s="170"/>
    </row>
    <row r="384" spans="2:62" ht="12.75">
      <c r="B384" s="170"/>
      <c r="C384" s="170"/>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c r="AY384" s="170"/>
      <c r="AZ384" s="170"/>
      <c r="BA384" s="170"/>
      <c r="BB384" s="170"/>
      <c r="BC384" s="170"/>
      <c r="BD384" s="170"/>
      <c r="BE384" s="170"/>
      <c r="BF384" s="170"/>
      <c r="BG384" s="170"/>
      <c r="BH384" s="170"/>
      <c r="BI384" s="170"/>
      <c r="BJ384" s="170"/>
    </row>
    <row r="385" spans="2:62" ht="12.75">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0"/>
      <c r="BJ385" s="170"/>
    </row>
    <row r="386" spans="2:62" ht="12.75">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c r="BD386" s="170"/>
      <c r="BE386" s="170"/>
      <c r="BF386" s="170"/>
      <c r="BG386" s="170"/>
      <c r="BH386" s="170"/>
      <c r="BI386" s="170"/>
      <c r="BJ386" s="170"/>
    </row>
    <row r="387" spans="2:62" ht="12.75">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0"/>
      <c r="BJ387" s="170"/>
    </row>
    <row r="388" spans="2:62" ht="12.75">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0"/>
      <c r="BJ388" s="170"/>
    </row>
    <row r="389" spans="2:62" ht="12.75">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c r="AY389" s="170"/>
      <c r="AZ389" s="170"/>
      <c r="BA389" s="170"/>
      <c r="BB389" s="170"/>
      <c r="BC389" s="170"/>
      <c r="BD389" s="170"/>
      <c r="BE389" s="170"/>
      <c r="BF389" s="170"/>
      <c r="BG389" s="170"/>
      <c r="BH389" s="170"/>
      <c r="BI389" s="170"/>
      <c r="BJ389" s="170"/>
    </row>
    <row r="390" spans="2:62" ht="12.75">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c r="BD390" s="170"/>
      <c r="BE390" s="170"/>
      <c r="BF390" s="170"/>
      <c r="BG390" s="170"/>
      <c r="BH390" s="170"/>
      <c r="BI390" s="170"/>
      <c r="BJ390" s="170"/>
    </row>
    <row r="391" spans="2:62" ht="12.75">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0"/>
      <c r="BJ391" s="170"/>
    </row>
    <row r="392" spans="2:62" ht="12.75">
      <c r="B392" s="170"/>
      <c r="C392" s="170"/>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c r="BD392" s="170"/>
      <c r="BE392" s="170"/>
      <c r="BF392" s="170"/>
      <c r="BG392" s="170"/>
      <c r="BH392" s="170"/>
      <c r="BI392" s="170"/>
      <c r="BJ392" s="170"/>
    </row>
    <row r="393" spans="2:62" ht="12.75">
      <c r="B393" s="170"/>
      <c r="C393" s="170"/>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c r="BD393" s="170"/>
      <c r="BE393" s="170"/>
      <c r="BF393" s="170"/>
      <c r="BG393" s="170"/>
      <c r="BH393" s="170"/>
      <c r="BI393" s="170"/>
      <c r="BJ393" s="170"/>
    </row>
    <row r="394" spans="2:62" ht="12.75">
      <c r="B394" s="170"/>
      <c r="C394" s="170"/>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c r="BD394" s="170"/>
      <c r="BE394" s="170"/>
      <c r="BF394" s="170"/>
      <c r="BG394" s="170"/>
      <c r="BH394" s="170"/>
      <c r="BI394" s="170"/>
      <c r="BJ394" s="170"/>
    </row>
    <row r="395" spans="2:62" ht="12.75">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c r="BD395" s="170"/>
      <c r="BE395" s="170"/>
      <c r="BF395" s="170"/>
      <c r="BG395" s="170"/>
      <c r="BH395" s="170"/>
      <c r="BI395" s="170"/>
      <c r="BJ395" s="170"/>
    </row>
    <row r="396" spans="2:62" ht="12.75">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c r="BD396" s="170"/>
      <c r="BE396" s="170"/>
      <c r="BF396" s="170"/>
      <c r="BG396" s="170"/>
      <c r="BH396" s="170"/>
      <c r="BI396" s="170"/>
      <c r="BJ396" s="170"/>
    </row>
    <row r="397" spans="2:62" ht="12.75">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c r="AY397" s="170"/>
      <c r="AZ397" s="170"/>
      <c r="BA397" s="170"/>
      <c r="BB397" s="170"/>
      <c r="BC397" s="170"/>
      <c r="BD397" s="170"/>
      <c r="BE397" s="170"/>
      <c r="BF397" s="170"/>
      <c r="BG397" s="170"/>
      <c r="BH397" s="170"/>
      <c r="BI397" s="170"/>
      <c r="BJ397" s="170"/>
    </row>
    <row r="398" spans="2:62" ht="12.75">
      <c r="B398" s="170"/>
      <c r="C398" s="170"/>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c r="AY398" s="170"/>
      <c r="AZ398" s="170"/>
      <c r="BA398" s="170"/>
      <c r="BB398" s="170"/>
      <c r="BC398" s="170"/>
      <c r="BD398" s="170"/>
      <c r="BE398" s="170"/>
      <c r="BF398" s="170"/>
      <c r="BG398" s="170"/>
      <c r="BH398" s="170"/>
      <c r="BI398" s="170"/>
      <c r="BJ398" s="170"/>
    </row>
    <row r="399" spans="2:62" ht="12.75">
      <c r="B399" s="170"/>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c r="AY399" s="170"/>
      <c r="AZ399" s="170"/>
      <c r="BA399" s="170"/>
      <c r="BB399" s="170"/>
      <c r="BC399" s="170"/>
      <c r="BD399" s="170"/>
      <c r="BE399" s="170"/>
      <c r="BF399" s="170"/>
      <c r="BG399" s="170"/>
      <c r="BH399" s="170"/>
      <c r="BI399" s="170"/>
      <c r="BJ399" s="170"/>
    </row>
    <row r="400" spans="2:62" ht="12.75">
      <c r="B400" s="170"/>
      <c r="C400" s="170"/>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c r="AY400" s="170"/>
      <c r="AZ400" s="170"/>
      <c r="BA400" s="170"/>
      <c r="BB400" s="170"/>
      <c r="BC400" s="170"/>
      <c r="BD400" s="170"/>
      <c r="BE400" s="170"/>
      <c r="BF400" s="170"/>
      <c r="BG400" s="170"/>
      <c r="BH400" s="170"/>
      <c r="BI400" s="170"/>
      <c r="BJ400" s="170"/>
    </row>
    <row r="401" spans="2:62" ht="12.75">
      <c r="B401" s="170"/>
      <c r="C401" s="170"/>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c r="AY401" s="170"/>
      <c r="AZ401" s="170"/>
      <c r="BA401" s="170"/>
      <c r="BB401" s="170"/>
      <c r="BC401" s="170"/>
      <c r="BD401" s="170"/>
      <c r="BE401" s="170"/>
      <c r="BF401" s="170"/>
      <c r="BG401" s="170"/>
      <c r="BH401" s="170"/>
      <c r="BI401" s="170"/>
      <c r="BJ401" s="170"/>
    </row>
    <row r="402" spans="2:62" ht="12.75">
      <c r="B402" s="170"/>
      <c r="C402" s="170"/>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170"/>
      <c r="BD402" s="170"/>
      <c r="BE402" s="170"/>
      <c r="BF402" s="170"/>
      <c r="BG402" s="170"/>
      <c r="BH402" s="170"/>
      <c r="BI402" s="170"/>
      <c r="BJ402" s="170"/>
    </row>
    <row r="403" spans="2:62" ht="12.75">
      <c r="B403" s="170"/>
      <c r="C403" s="170"/>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c r="AY403" s="170"/>
      <c r="AZ403" s="170"/>
      <c r="BA403" s="170"/>
      <c r="BB403" s="170"/>
      <c r="BC403" s="170"/>
      <c r="BD403" s="170"/>
      <c r="BE403" s="170"/>
      <c r="BF403" s="170"/>
      <c r="BG403" s="170"/>
      <c r="BH403" s="170"/>
      <c r="BI403" s="170"/>
      <c r="BJ403" s="170"/>
    </row>
    <row r="404" spans="2:62" ht="12.75">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c r="AY404" s="170"/>
      <c r="AZ404" s="170"/>
      <c r="BA404" s="170"/>
      <c r="BB404" s="170"/>
      <c r="BC404" s="170"/>
      <c r="BD404" s="170"/>
      <c r="BE404" s="170"/>
      <c r="BF404" s="170"/>
      <c r="BG404" s="170"/>
      <c r="BH404" s="170"/>
      <c r="BI404" s="170"/>
      <c r="BJ404" s="170"/>
    </row>
    <row r="405" spans="2:62" ht="12.75">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0"/>
      <c r="BJ405" s="170"/>
    </row>
    <row r="406" spans="2:62" ht="12.75">
      <c r="B406" s="170"/>
      <c r="C406" s="170"/>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c r="AY406" s="170"/>
      <c r="AZ406" s="170"/>
      <c r="BA406" s="170"/>
      <c r="BB406" s="170"/>
      <c r="BC406" s="170"/>
      <c r="BD406" s="170"/>
      <c r="BE406" s="170"/>
      <c r="BF406" s="170"/>
      <c r="BG406" s="170"/>
      <c r="BH406" s="170"/>
      <c r="BI406" s="170"/>
      <c r="BJ406" s="170"/>
    </row>
    <row r="407" spans="2:62" ht="12.75">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0"/>
      <c r="BJ407" s="170"/>
    </row>
    <row r="408" spans="2:62" ht="12.75">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0"/>
      <c r="BJ408" s="170"/>
    </row>
    <row r="409" spans="2:8" ht="12.75">
      <c r="B409" s="170"/>
      <c r="C409" s="170"/>
      <c r="D409" s="170"/>
      <c r="E409" s="170"/>
      <c r="F409" s="170"/>
      <c r="G409" s="170"/>
      <c r="H409" s="170"/>
    </row>
    <row r="410" spans="2:8" ht="12.75">
      <c r="B410" s="170"/>
      <c r="C410" s="170"/>
      <c r="D410" s="170"/>
      <c r="E410" s="170"/>
      <c r="F410" s="170"/>
      <c r="G410" s="170"/>
      <c r="H410" s="170"/>
    </row>
    <row r="411" spans="2:8" ht="12.75">
      <c r="B411" s="170"/>
      <c r="C411" s="170"/>
      <c r="D411" s="170"/>
      <c r="E411" s="170"/>
      <c r="F411" s="170"/>
      <c r="G411" s="170"/>
      <c r="H411" s="170"/>
    </row>
    <row r="412" spans="2:8" ht="12.75">
      <c r="B412" s="170"/>
      <c r="C412" s="170"/>
      <c r="D412" s="170"/>
      <c r="E412" s="170"/>
      <c r="F412" s="170"/>
      <c r="G412" s="170"/>
      <c r="H412" s="170"/>
    </row>
    <row r="413" spans="2:8" ht="12.75">
      <c r="B413" s="170"/>
      <c r="C413" s="170"/>
      <c r="D413" s="170"/>
      <c r="E413" s="170"/>
      <c r="F413" s="170"/>
      <c r="G413" s="170"/>
      <c r="H413" s="170"/>
    </row>
    <row r="414" spans="2:8" ht="12.75">
      <c r="B414" s="170"/>
      <c r="C414" s="170"/>
      <c r="D414" s="170"/>
      <c r="E414" s="170"/>
      <c r="F414" s="170"/>
      <c r="G414" s="170"/>
      <c r="H414" s="170"/>
    </row>
    <row r="415" spans="2:8" ht="12.75">
      <c r="B415" s="170"/>
      <c r="C415" s="170"/>
      <c r="D415" s="170"/>
      <c r="E415" s="170"/>
      <c r="F415" s="170"/>
      <c r="G415" s="170"/>
      <c r="H415" s="170"/>
    </row>
    <row r="416" spans="2:8" ht="12.75">
      <c r="B416" s="170"/>
      <c r="C416" s="170"/>
      <c r="D416" s="170"/>
      <c r="E416" s="170"/>
      <c r="F416" s="170"/>
      <c r="G416" s="170"/>
      <c r="H416" s="170"/>
    </row>
    <row r="417" spans="2:8" ht="12.75">
      <c r="B417" s="170"/>
      <c r="C417" s="170"/>
      <c r="D417" s="170"/>
      <c r="E417" s="170"/>
      <c r="F417" s="170"/>
      <c r="G417" s="170"/>
      <c r="H417" s="170"/>
    </row>
    <row r="418" spans="2:8" ht="12.75">
      <c r="B418" s="170"/>
      <c r="C418" s="170"/>
      <c r="D418" s="170"/>
      <c r="E418" s="170"/>
      <c r="F418" s="170"/>
      <c r="G418" s="170"/>
      <c r="H418" s="170"/>
    </row>
    <row r="419" spans="2:8" ht="12.75">
      <c r="B419" s="170"/>
      <c r="C419" s="170"/>
      <c r="D419" s="170"/>
      <c r="E419" s="170"/>
      <c r="F419" s="170"/>
      <c r="G419" s="170"/>
      <c r="H419" s="170"/>
    </row>
    <row r="420" spans="2:8" ht="12.75">
      <c r="B420" s="170"/>
      <c r="C420" s="170"/>
      <c r="D420" s="170"/>
      <c r="E420" s="170"/>
      <c r="F420" s="170"/>
      <c r="G420" s="170"/>
      <c r="H420" s="170"/>
    </row>
    <row r="421" spans="2:8" ht="12.75">
      <c r="B421" s="170"/>
      <c r="C421" s="170"/>
      <c r="D421" s="170"/>
      <c r="E421" s="170"/>
      <c r="F421" s="170"/>
      <c r="G421" s="170"/>
      <c r="H421" s="170"/>
    </row>
    <row r="422" spans="2:8" ht="12.75">
      <c r="B422" s="170"/>
      <c r="C422" s="170"/>
      <c r="D422" s="170"/>
      <c r="E422" s="170"/>
      <c r="F422" s="170"/>
      <c r="G422" s="170"/>
      <c r="H422" s="170"/>
    </row>
    <row r="423" spans="2:8" ht="12.75">
      <c r="B423" s="170"/>
      <c r="C423" s="170"/>
      <c r="D423" s="170"/>
      <c r="E423" s="170"/>
      <c r="F423" s="170"/>
      <c r="G423" s="170"/>
      <c r="H423" s="170"/>
    </row>
    <row r="424" spans="2:8" ht="12.75">
      <c r="B424" s="170"/>
      <c r="C424" s="170"/>
      <c r="D424" s="170"/>
      <c r="E424" s="170"/>
      <c r="F424" s="170"/>
      <c r="G424" s="170"/>
      <c r="H424" s="170"/>
    </row>
    <row r="425" spans="2:8" ht="12.75">
      <c r="B425" s="170"/>
      <c r="C425" s="170"/>
      <c r="D425" s="170"/>
      <c r="E425" s="170"/>
      <c r="F425" s="170"/>
      <c r="G425" s="170"/>
      <c r="H425" s="170"/>
    </row>
    <row r="426" spans="2:8" ht="12.75">
      <c r="B426" s="170"/>
      <c r="C426" s="170"/>
      <c r="D426" s="170"/>
      <c r="E426" s="170"/>
      <c r="F426" s="170"/>
      <c r="G426" s="170"/>
      <c r="H426" s="170"/>
    </row>
    <row r="427" spans="2:8" ht="12.75">
      <c r="B427" s="170"/>
      <c r="C427" s="170"/>
      <c r="D427" s="170"/>
      <c r="E427" s="170"/>
      <c r="F427" s="170"/>
      <c r="G427" s="170"/>
      <c r="H427" s="170"/>
    </row>
    <row r="428" spans="2:8" ht="12.75">
      <c r="B428" s="170"/>
      <c r="C428" s="170"/>
      <c r="D428" s="170"/>
      <c r="E428" s="170"/>
      <c r="F428" s="170"/>
      <c r="G428" s="170"/>
      <c r="H428" s="170"/>
    </row>
    <row r="429" spans="2:8" ht="12.75">
      <c r="B429" s="170"/>
      <c r="C429" s="170"/>
      <c r="D429" s="170"/>
      <c r="E429" s="170"/>
      <c r="F429" s="170"/>
      <c r="G429" s="170"/>
      <c r="H429" s="170"/>
    </row>
    <row r="430" spans="2:8" ht="12.75">
      <c r="B430" s="170"/>
      <c r="C430" s="170"/>
      <c r="D430" s="170"/>
      <c r="E430" s="170"/>
      <c r="F430" s="170"/>
      <c r="G430" s="170"/>
      <c r="H430" s="170"/>
    </row>
    <row r="431" spans="2:8" ht="12.75">
      <c r="B431" s="170"/>
      <c r="C431" s="170"/>
      <c r="D431" s="170"/>
      <c r="E431" s="170"/>
      <c r="F431" s="170"/>
      <c r="G431" s="170"/>
      <c r="H431" s="170"/>
    </row>
    <row r="432" spans="2:8" ht="12.75">
      <c r="B432" s="170"/>
      <c r="C432" s="170"/>
      <c r="D432" s="170"/>
      <c r="E432" s="170"/>
      <c r="F432" s="170"/>
      <c r="G432" s="170"/>
      <c r="H432" s="170"/>
    </row>
    <row r="433" spans="2:8" ht="12.75">
      <c r="B433" s="170"/>
      <c r="C433" s="170"/>
      <c r="D433" s="170"/>
      <c r="E433" s="170"/>
      <c r="F433" s="170"/>
      <c r="G433" s="170"/>
      <c r="H433" s="170"/>
    </row>
    <row r="434" spans="2:8" ht="12.75">
      <c r="B434" s="170"/>
      <c r="C434" s="170"/>
      <c r="D434" s="170"/>
      <c r="E434" s="170"/>
      <c r="F434" s="170"/>
      <c r="G434" s="170"/>
      <c r="H434" s="170"/>
    </row>
    <row r="435" spans="2:8" ht="12.75">
      <c r="B435" s="170"/>
      <c r="C435" s="170"/>
      <c r="D435" s="170"/>
      <c r="E435" s="170"/>
      <c r="F435" s="170"/>
      <c r="G435" s="170"/>
      <c r="H435" s="170"/>
    </row>
    <row r="436" spans="2:8" ht="12.75">
      <c r="B436" s="170"/>
      <c r="C436" s="170"/>
      <c r="D436" s="170"/>
      <c r="E436" s="170"/>
      <c r="F436" s="170"/>
      <c r="G436" s="170"/>
      <c r="H436" s="170"/>
    </row>
    <row r="437" spans="2:8" ht="12.75">
      <c r="B437" s="170"/>
      <c r="C437" s="170"/>
      <c r="D437" s="170"/>
      <c r="E437" s="170"/>
      <c r="F437" s="170"/>
      <c r="G437" s="170"/>
      <c r="H437" s="170"/>
    </row>
    <row r="438" spans="2:8" ht="12.75">
      <c r="B438" s="170"/>
      <c r="C438" s="170"/>
      <c r="D438" s="170"/>
      <c r="E438" s="170"/>
      <c r="F438" s="170"/>
      <c r="G438" s="170"/>
      <c r="H438" s="170"/>
    </row>
    <row r="439" spans="2:8" ht="12.75">
      <c r="B439" s="170"/>
      <c r="C439" s="170"/>
      <c r="D439" s="170"/>
      <c r="E439" s="170"/>
      <c r="F439" s="170"/>
      <c r="G439" s="170"/>
      <c r="H439" s="170"/>
    </row>
    <row r="440" spans="2:8" ht="12.75">
      <c r="B440" s="170"/>
      <c r="C440" s="170"/>
      <c r="D440" s="170"/>
      <c r="E440" s="170"/>
      <c r="F440" s="170"/>
      <c r="G440" s="170"/>
      <c r="H440" s="170"/>
    </row>
    <row r="441" spans="2:8" ht="12.75">
      <c r="B441" s="170"/>
      <c r="C441" s="170"/>
      <c r="D441" s="170"/>
      <c r="E441" s="170"/>
      <c r="F441" s="170"/>
      <c r="G441" s="170"/>
      <c r="H441" s="170"/>
    </row>
    <row r="442" spans="2:8" ht="12.75">
      <c r="B442" s="170"/>
      <c r="C442" s="170"/>
      <c r="D442" s="170"/>
      <c r="E442" s="170"/>
      <c r="F442" s="170"/>
      <c r="G442" s="170"/>
      <c r="H442" s="170"/>
    </row>
    <row r="443" spans="2:8" ht="12.75">
      <c r="B443" s="170"/>
      <c r="C443" s="170"/>
      <c r="D443" s="170"/>
      <c r="E443" s="170"/>
      <c r="F443" s="170"/>
      <c r="G443" s="170"/>
      <c r="H443" s="170"/>
    </row>
    <row r="444" spans="2:8" ht="12.75">
      <c r="B444" s="170"/>
      <c r="C444" s="170"/>
      <c r="D444" s="170"/>
      <c r="E444" s="170"/>
      <c r="F444" s="170"/>
      <c r="G444" s="170"/>
      <c r="H444" s="170"/>
    </row>
    <row r="445" spans="2:8" ht="12.75">
      <c r="B445" s="170"/>
      <c r="C445" s="170"/>
      <c r="D445" s="170"/>
      <c r="E445" s="170"/>
      <c r="F445" s="170"/>
      <c r="G445" s="170"/>
      <c r="H445" s="170"/>
    </row>
    <row r="446" spans="2:8" ht="12.75">
      <c r="B446" s="170"/>
      <c r="C446" s="170"/>
      <c r="D446" s="170"/>
      <c r="E446" s="170"/>
      <c r="F446" s="170"/>
      <c r="G446" s="170"/>
      <c r="H446" s="170"/>
    </row>
    <row r="447" spans="2:8" ht="12.75">
      <c r="B447" s="170"/>
      <c r="C447" s="170"/>
      <c r="D447" s="170"/>
      <c r="E447" s="170"/>
      <c r="F447" s="170"/>
      <c r="G447" s="170"/>
      <c r="H447" s="170"/>
    </row>
    <row r="448" spans="2:8" ht="12.75">
      <c r="B448" s="170"/>
      <c r="C448" s="170"/>
      <c r="D448" s="170"/>
      <c r="E448" s="170"/>
      <c r="F448" s="170"/>
      <c r="G448" s="170"/>
      <c r="H448" s="170"/>
    </row>
    <row r="449" spans="2:8" ht="12.75">
      <c r="B449" s="170"/>
      <c r="C449" s="170"/>
      <c r="D449" s="170"/>
      <c r="E449" s="170"/>
      <c r="F449" s="170"/>
      <c r="G449" s="170"/>
      <c r="H449" s="170"/>
    </row>
    <row r="450" spans="2:8" ht="12.75">
      <c r="B450" s="170"/>
      <c r="C450" s="170"/>
      <c r="D450" s="170"/>
      <c r="E450" s="170"/>
      <c r="F450" s="170"/>
      <c r="G450" s="170"/>
      <c r="H450" s="170"/>
    </row>
    <row r="451" spans="2:8" ht="12.75">
      <c r="B451" s="170"/>
      <c r="C451" s="170"/>
      <c r="D451" s="170"/>
      <c r="E451" s="170"/>
      <c r="F451" s="170"/>
      <c r="G451" s="170"/>
      <c r="H451" s="170"/>
    </row>
    <row r="452" spans="2:8" ht="12.75">
      <c r="B452" s="170"/>
      <c r="C452" s="170"/>
      <c r="D452" s="170"/>
      <c r="E452" s="170"/>
      <c r="F452" s="170"/>
      <c r="G452" s="170"/>
      <c r="H452" s="170"/>
    </row>
    <row r="453" spans="2:8" ht="12.75">
      <c r="B453" s="170"/>
      <c r="C453" s="170"/>
      <c r="D453" s="170"/>
      <c r="E453" s="170"/>
      <c r="F453" s="170"/>
      <c r="G453" s="170"/>
      <c r="H453" s="170"/>
    </row>
    <row r="454" spans="2:8" ht="12.75">
      <c r="B454" s="170"/>
      <c r="C454" s="170"/>
      <c r="D454" s="170"/>
      <c r="E454" s="170"/>
      <c r="F454" s="170"/>
      <c r="G454" s="170"/>
      <c r="H454" s="170"/>
    </row>
    <row r="455" spans="2:8" ht="12.75">
      <c r="B455" s="170"/>
      <c r="C455" s="170"/>
      <c r="D455" s="170"/>
      <c r="E455" s="170"/>
      <c r="F455" s="170"/>
      <c r="G455" s="170"/>
      <c r="H455" s="170"/>
    </row>
    <row r="456" spans="2:8" ht="12.75">
      <c r="B456" s="170"/>
      <c r="C456" s="170"/>
      <c r="D456" s="170"/>
      <c r="E456" s="170"/>
      <c r="F456" s="170"/>
      <c r="G456" s="170"/>
      <c r="H456" s="170"/>
    </row>
    <row r="457" spans="2:8" ht="12.75">
      <c r="B457" s="170"/>
      <c r="C457" s="170"/>
      <c r="D457" s="170"/>
      <c r="E457" s="170"/>
      <c r="F457" s="170"/>
      <c r="G457" s="170"/>
      <c r="H457" s="170"/>
    </row>
    <row r="458" spans="2:8" ht="12.75">
      <c r="B458" s="170"/>
      <c r="C458" s="170"/>
      <c r="D458" s="170"/>
      <c r="E458" s="170"/>
      <c r="F458" s="170"/>
      <c r="G458" s="170"/>
      <c r="H458" s="170"/>
    </row>
    <row r="459" spans="2:8" ht="12.75">
      <c r="B459" s="170"/>
      <c r="C459" s="170"/>
      <c r="D459" s="170"/>
      <c r="E459" s="170"/>
      <c r="F459" s="170"/>
      <c r="G459" s="170"/>
      <c r="H459" s="170"/>
    </row>
    <row r="460" spans="2:8" ht="12.75">
      <c r="B460" s="170"/>
      <c r="C460" s="170"/>
      <c r="D460" s="170"/>
      <c r="E460" s="170"/>
      <c r="F460" s="170"/>
      <c r="G460" s="170"/>
      <c r="H460" s="170"/>
    </row>
    <row r="461" spans="2:8" ht="12.75">
      <c r="B461" s="170"/>
      <c r="C461" s="170"/>
      <c r="D461" s="170"/>
      <c r="E461" s="170"/>
      <c r="F461" s="170"/>
      <c r="G461" s="170"/>
      <c r="H461" s="170"/>
    </row>
    <row r="462" spans="2:8" ht="12.75">
      <c r="B462" s="170"/>
      <c r="C462" s="170"/>
      <c r="D462" s="170"/>
      <c r="E462" s="170"/>
      <c r="F462" s="170"/>
      <c r="G462" s="170"/>
      <c r="H462" s="170"/>
    </row>
    <row r="463" spans="2:8" ht="12.75">
      <c r="B463" s="170"/>
      <c r="C463" s="170"/>
      <c r="D463" s="170"/>
      <c r="E463" s="170"/>
      <c r="F463" s="170"/>
      <c r="G463" s="170"/>
      <c r="H463" s="170"/>
    </row>
    <row r="464" spans="2:8" ht="12.75">
      <c r="B464" s="170"/>
      <c r="C464" s="170"/>
      <c r="D464" s="170"/>
      <c r="E464" s="170"/>
      <c r="F464" s="170"/>
      <c r="G464" s="170"/>
      <c r="H464" s="170"/>
    </row>
    <row r="465" spans="2:8" ht="12.75">
      <c r="B465" s="170"/>
      <c r="C465" s="170"/>
      <c r="D465" s="170"/>
      <c r="E465" s="170"/>
      <c r="F465" s="170"/>
      <c r="G465" s="170"/>
      <c r="H465" s="170"/>
    </row>
    <row r="466" spans="2:8" ht="12.75">
      <c r="B466" s="170"/>
      <c r="C466" s="170"/>
      <c r="D466" s="170"/>
      <c r="E466" s="170"/>
      <c r="F466" s="170"/>
      <c r="G466" s="170"/>
      <c r="H466" s="170"/>
    </row>
    <row r="467" spans="2:8" ht="12.75">
      <c r="B467" s="170"/>
      <c r="C467" s="170"/>
      <c r="D467" s="170"/>
      <c r="E467" s="170"/>
      <c r="F467" s="170"/>
      <c r="G467" s="170"/>
      <c r="H467" s="170"/>
    </row>
    <row r="468" spans="2:8" ht="12.75">
      <c r="B468" s="170"/>
      <c r="C468" s="170"/>
      <c r="D468" s="170"/>
      <c r="E468" s="170"/>
      <c r="F468" s="170"/>
      <c r="G468" s="170"/>
      <c r="H468" s="170"/>
    </row>
    <row r="469" spans="2:8" ht="12.75">
      <c r="B469" s="170"/>
      <c r="C469" s="170"/>
      <c r="D469" s="170"/>
      <c r="E469" s="170"/>
      <c r="F469" s="170"/>
      <c r="G469" s="170"/>
      <c r="H469" s="170"/>
    </row>
    <row r="470" spans="2:8" ht="12.75">
      <c r="B470" s="170"/>
      <c r="C470" s="170"/>
      <c r="D470" s="170"/>
      <c r="E470" s="170"/>
      <c r="F470" s="170"/>
      <c r="G470" s="170"/>
      <c r="H470" s="170"/>
    </row>
    <row r="471" spans="2:8" ht="12.75">
      <c r="B471" s="170"/>
      <c r="C471" s="170"/>
      <c r="D471" s="170"/>
      <c r="E471" s="170"/>
      <c r="F471" s="170"/>
      <c r="G471" s="170"/>
      <c r="H471" s="170"/>
    </row>
    <row r="472" spans="2:8" ht="12.75">
      <c r="B472" s="170"/>
      <c r="C472" s="170"/>
      <c r="D472" s="170"/>
      <c r="E472" s="170"/>
      <c r="F472" s="170"/>
      <c r="G472" s="170"/>
      <c r="H472" s="170"/>
    </row>
    <row r="473" spans="2:8" ht="12.75">
      <c r="B473" s="170"/>
      <c r="C473" s="170"/>
      <c r="D473" s="170"/>
      <c r="E473" s="170"/>
      <c r="F473" s="170"/>
      <c r="G473" s="170"/>
      <c r="H473" s="170"/>
    </row>
    <row r="474" spans="2:8" ht="12.75">
      <c r="B474" s="170"/>
      <c r="C474" s="170"/>
      <c r="D474" s="170"/>
      <c r="E474" s="170"/>
      <c r="F474" s="170"/>
      <c r="G474" s="170"/>
      <c r="H474" s="170"/>
    </row>
    <row r="475" spans="2:8" ht="12.75">
      <c r="B475" s="170"/>
      <c r="C475" s="170"/>
      <c r="D475" s="170"/>
      <c r="E475" s="170"/>
      <c r="F475" s="170"/>
      <c r="G475" s="170"/>
      <c r="H475" s="170"/>
    </row>
    <row r="476" spans="2:8" ht="12.75">
      <c r="B476" s="170"/>
      <c r="C476" s="170"/>
      <c r="D476" s="170"/>
      <c r="E476" s="170"/>
      <c r="F476" s="170"/>
      <c r="G476" s="170"/>
      <c r="H476" s="170"/>
    </row>
    <row r="477" spans="2:8" ht="12.75">
      <c r="B477" s="170"/>
      <c r="C477" s="170"/>
      <c r="D477" s="170"/>
      <c r="E477" s="170"/>
      <c r="F477" s="170"/>
      <c r="G477" s="170"/>
      <c r="H477" s="170"/>
    </row>
    <row r="478" spans="2:8" ht="12.75">
      <c r="B478" s="170"/>
      <c r="C478" s="170"/>
      <c r="D478" s="170"/>
      <c r="E478" s="170"/>
      <c r="F478" s="170"/>
      <c r="G478" s="170"/>
      <c r="H478" s="170"/>
    </row>
    <row r="479" spans="2:8" ht="12.75">
      <c r="B479" s="170"/>
      <c r="C479" s="170"/>
      <c r="D479" s="170"/>
      <c r="E479" s="170"/>
      <c r="F479" s="170"/>
      <c r="G479" s="170"/>
      <c r="H479" s="170"/>
    </row>
    <row r="480" spans="2:8" ht="12.75">
      <c r="B480" s="170"/>
      <c r="C480" s="170"/>
      <c r="D480" s="170"/>
      <c r="E480" s="170"/>
      <c r="F480" s="170"/>
      <c r="G480" s="170"/>
      <c r="H480" s="170"/>
    </row>
    <row r="481" spans="2:8" ht="12.75">
      <c r="B481" s="170"/>
      <c r="C481" s="170"/>
      <c r="D481" s="170"/>
      <c r="E481" s="170"/>
      <c r="F481" s="170"/>
      <c r="G481" s="170"/>
      <c r="H481" s="170"/>
    </row>
    <row r="482" spans="2:8" ht="12.75">
      <c r="B482" s="170"/>
      <c r="C482" s="170"/>
      <c r="D482" s="170"/>
      <c r="E482" s="170"/>
      <c r="F482" s="170"/>
      <c r="G482" s="170"/>
      <c r="H482" s="170"/>
    </row>
    <row r="483" spans="2:8" ht="12.75">
      <c r="B483" s="170"/>
      <c r="C483" s="170"/>
      <c r="D483" s="170"/>
      <c r="E483" s="170"/>
      <c r="F483" s="170"/>
      <c r="G483" s="170"/>
      <c r="H483" s="170"/>
    </row>
    <row r="484" spans="2:8" ht="12.75">
      <c r="B484" s="170"/>
      <c r="C484" s="170"/>
      <c r="D484" s="170"/>
      <c r="E484" s="170"/>
      <c r="F484" s="170"/>
      <c r="G484" s="170"/>
      <c r="H484" s="170"/>
    </row>
    <row r="485" spans="2:8" ht="12.75">
      <c r="B485" s="170"/>
      <c r="C485" s="170"/>
      <c r="D485" s="170"/>
      <c r="E485" s="170"/>
      <c r="F485" s="170"/>
      <c r="G485" s="170"/>
      <c r="H485" s="170"/>
    </row>
    <row r="486" spans="2:8" ht="12.75">
      <c r="B486" s="170"/>
      <c r="C486" s="170"/>
      <c r="D486" s="170"/>
      <c r="E486" s="170"/>
      <c r="F486" s="170"/>
      <c r="G486" s="170"/>
      <c r="H486" s="170"/>
    </row>
    <row r="487" spans="2:8" ht="12.75">
      <c r="B487" s="170"/>
      <c r="C487" s="170"/>
      <c r="D487" s="170"/>
      <c r="E487" s="170"/>
      <c r="F487" s="170"/>
      <c r="G487" s="170"/>
      <c r="H487" s="170"/>
    </row>
    <row r="488" spans="2:8" ht="12.75">
      <c r="B488" s="170"/>
      <c r="C488" s="170"/>
      <c r="D488" s="170"/>
      <c r="E488" s="170"/>
      <c r="F488" s="170"/>
      <c r="G488" s="170"/>
      <c r="H488" s="170"/>
    </row>
    <row r="489" spans="2:8" ht="12.75">
      <c r="B489" s="170"/>
      <c r="C489" s="170"/>
      <c r="D489" s="170"/>
      <c r="E489" s="170"/>
      <c r="F489" s="170"/>
      <c r="G489" s="170"/>
      <c r="H489" s="170"/>
    </row>
    <row r="490" spans="2:8" ht="12.75">
      <c r="B490" s="170"/>
      <c r="C490" s="170"/>
      <c r="D490" s="170"/>
      <c r="E490" s="170"/>
      <c r="F490" s="170"/>
      <c r="G490" s="170"/>
      <c r="H490" s="170"/>
    </row>
    <row r="491" spans="2:8" ht="12.75">
      <c r="B491" s="170"/>
      <c r="C491" s="170"/>
      <c r="D491" s="170"/>
      <c r="E491" s="170"/>
      <c r="F491" s="170"/>
      <c r="G491" s="170"/>
      <c r="H491" s="170"/>
    </row>
    <row r="492" spans="2:8" ht="12.75">
      <c r="B492" s="170"/>
      <c r="C492" s="170"/>
      <c r="D492" s="170"/>
      <c r="E492" s="170"/>
      <c r="F492" s="170"/>
      <c r="G492" s="170"/>
      <c r="H492" s="170"/>
    </row>
    <row r="493" spans="2:8" ht="12.75">
      <c r="B493" s="170"/>
      <c r="C493" s="170"/>
      <c r="D493" s="170"/>
      <c r="E493" s="170"/>
      <c r="F493" s="170"/>
      <c r="G493" s="170"/>
      <c r="H493" s="170"/>
    </row>
    <row r="494" spans="2:8" ht="12.75">
      <c r="B494" s="170"/>
      <c r="C494" s="170"/>
      <c r="D494" s="170"/>
      <c r="E494" s="170"/>
      <c r="F494" s="170"/>
      <c r="G494" s="170"/>
      <c r="H494" s="170"/>
    </row>
    <row r="495" spans="2:8" ht="12.75">
      <c r="B495" s="170"/>
      <c r="C495" s="170"/>
      <c r="D495" s="170"/>
      <c r="E495" s="170"/>
      <c r="F495" s="170"/>
      <c r="G495" s="170"/>
      <c r="H495" s="170"/>
    </row>
    <row r="496" spans="2:8" ht="12.75">
      <c r="B496" s="170"/>
      <c r="C496" s="170"/>
      <c r="D496" s="170"/>
      <c r="E496" s="170"/>
      <c r="F496" s="170"/>
      <c r="G496" s="170"/>
      <c r="H496" s="170"/>
    </row>
    <row r="497" spans="2:8" ht="12.75">
      <c r="B497" s="170"/>
      <c r="C497" s="170"/>
      <c r="D497" s="170"/>
      <c r="E497" s="170"/>
      <c r="F497" s="170"/>
      <c r="G497" s="170"/>
      <c r="H497" s="170"/>
    </row>
    <row r="498" spans="2:8" ht="12.75">
      <c r="B498" s="170"/>
      <c r="C498" s="170"/>
      <c r="D498" s="170"/>
      <c r="E498" s="170"/>
      <c r="F498" s="170"/>
      <c r="G498" s="170"/>
      <c r="H498" s="170"/>
    </row>
    <row r="499" spans="2:8" ht="12.75">
      <c r="B499" s="170"/>
      <c r="C499" s="170"/>
      <c r="D499" s="170"/>
      <c r="E499" s="170"/>
      <c r="F499" s="170"/>
      <c r="G499" s="170"/>
      <c r="H499" s="170"/>
    </row>
    <row r="500" spans="2:8" ht="12.75">
      <c r="B500" s="170"/>
      <c r="C500" s="170"/>
      <c r="D500" s="170"/>
      <c r="E500" s="170"/>
      <c r="F500" s="170"/>
      <c r="G500" s="170"/>
      <c r="H500" s="170"/>
    </row>
    <row r="501" spans="2:8" ht="12.75">
      <c r="B501" s="170"/>
      <c r="C501" s="170"/>
      <c r="D501" s="170"/>
      <c r="E501" s="170"/>
      <c r="F501" s="170"/>
      <c r="G501" s="170"/>
      <c r="H501" s="170"/>
    </row>
    <row r="502" spans="2:8" ht="12.75">
      <c r="B502" s="170"/>
      <c r="C502" s="170"/>
      <c r="D502" s="170"/>
      <c r="E502" s="170"/>
      <c r="F502" s="170"/>
      <c r="G502" s="170"/>
      <c r="H502" s="170"/>
    </row>
    <row r="503" spans="2:8" ht="12.75">
      <c r="B503" s="170"/>
      <c r="C503" s="170"/>
      <c r="D503" s="170"/>
      <c r="E503" s="170"/>
      <c r="F503" s="170"/>
      <c r="G503" s="170"/>
      <c r="H503" s="170"/>
    </row>
    <row r="504" spans="2:8" ht="12.75">
      <c r="B504" s="170"/>
      <c r="C504" s="170"/>
      <c r="D504" s="170"/>
      <c r="E504" s="170"/>
      <c r="F504" s="170"/>
      <c r="G504" s="170"/>
      <c r="H504" s="170"/>
    </row>
    <row r="505" spans="2:8" ht="12.75">
      <c r="B505" s="170"/>
      <c r="C505" s="170"/>
      <c r="D505" s="170"/>
      <c r="E505" s="170"/>
      <c r="F505" s="170"/>
      <c r="G505" s="170"/>
      <c r="H505" s="170"/>
    </row>
    <row r="506" spans="2:8" ht="12.75">
      <c r="B506" s="170"/>
      <c r="C506" s="170"/>
      <c r="D506" s="170"/>
      <c r="E506" s="170"/>
      <c r="F506" s="170"/>
      <c r="G506" s="170"/>
      <c r="H506" s="170"/>
    </row>
    <row r="507" spans="2:8" ht="12.75">
      <c r="B507" s="170"/>
      <c r="C507" s="170"/>
      <c r="D507" s="170"/>
      <c r="E507" s="170"/>
      <c r="F507" s="170"/>
      <c r="G507" s="170"/>
      <c r="H507" s="170"/>
    </row>
    <row r="508" spans="2:8" ht="12.75">
      <c r="B508" s="170"/>
      <c r="C508" s="170"/>
      <c r="D508" s="170"/>
      <c r="E508" s="170"/>
      <c r="F508" s="170"/>
      <c r="G508" s="170"/>
      <c r="H508" s="170"/>
    </row>
    <row r="509" spans="2:8" ht="12.75">
      <c r="B509" s="170"/>
      <c r="C509" s="170"/>
      <c r="D509" s="170"/>
      <c r="E509" s="170"/>
      <c r="F509" s="170"/>
      <c r="G509" s="170"/>
      <c r="H509" s="170"/>
    </row>
    <row r="510" spans="2:8" ht="12.75">
      <c r="B510" s="170"/>
      <c r="C510" s="170"/>
      <c r="D510" s="170"/>
      <c r="E510" s="170"/>
      <c r="F510" s="170"/>
      <c r="G510" s="170"/>
      <c r="H510" s="170"/>
    </row>
    <row r="511" spans="2:8" ht="12.75">
      <c r="B511" s="170"/>
      <c r="C511" s="170"/>
      <c r="D511" s="170"/>
      <c r="E511" s="170"/>
      <c r="F511" s="170"/>
      <c r="G511" s="170"/>
      <c r="H511" s="170"/>
    </row>
    <row r="512" spans="2:8" ht="12.75">
      <c r="B512" s="170"/>
      <c r="C512" s="170"/>
      <c r="D512" s="170"/>
      <c r="E512" s="170"/>
      <c r="F512" s="170"/>
      <c r="G512" s="170"/>
      <c r="H512" s="170"/>
    </row>
    <row r="513" spans="2:8" ht="12.75">
      <c r="B513" s="170"/>
      <c r="C513" s="170"/>
      <c r="D513" s="170"/>
      <c r="E513" s="170"/>
      <c r="F513" s="170"/>
      <c r="G513" s="170"/>
      <c r="H513" s="170"/>
    </row>
    <row r="514" spans="2:8" ht="12.75">
      <c r="B514" s="170"/>
      <c r="C514" s="170"/>
      <c r="D514" s="170"/>
      <c r="E514" s="170"/>
      <c r="F514" s="170"/>
      <c r="G514" s="170"/>
      <c r="H514" s="170"/>
    </row>
    <row r="515" spans="2:8" ht="12.75">
      <c r="B515" s="170"/>
      <c r="C515" s="170"/>
      <c r="D515" s="170"/>
      <c r="E515" s="170"/>
      <c r="F515" s="170"/>
      <c r="G515" s="170"/>
      <c r="H515" s="170"/>
    </row>
    <row r="516" spans="2:8" ht="12.75">
      <c r="B516" s="170"/>
      <c r="C516" s="170"/>
      <c r="D516" s="170"/>
      <c r="E516" s="170"/>
      <c r="F516" s="170"/>
      <c r="G516" s="170"/>
      <c r="H516" s="170"/>
    </row>
    <row r="517" spans="2:8" ht="12.75">
      <c r="B517" s="170"/>
      <c r="C517" s="170"/>
      <c r="D517" s="170"/>
      <c r="E517" s="170"/>
      <c r="F517" s="170"/>
      <c r="G517" s="170"/>
      <c r="H517" s="170"/>
    </row>
    <row r="518" spans="2:8" ht="12.75">
      <c r="B518" s="170"/>
      <c r="C518" s="170"/>
      <c r="D518" s="170"/>
      <c r="E518" s="170"/>
      <c r="F518" s="170"/>
      <c r="G518" s="170"/>
      <c r="H518" s="170"/>
    </row>
    <row r="519" spans="2:8" ht="12.75">
      <c r="B519" s="170"/>
      <c r="C519" s="170"/>
      <c r="D519" s="170"/>
      <c r="E519" s="170"/>
      <c r="F519" s="170"/>
      <c r="G519" s="170"/>
      <c r="H519" s="170"/>
    </row>
    <row r="520" spans="2:8" ht="12.75">
      <c r="B520" s="170"/>
      <c r="C520" s="170"/>
      <c r="D520" s="170"/>
      <c r="E520" s="170"/>
      <c r="F520" s="170"/>
      <c r="G520" s="170"/>
      <c r="H520" s="170"/>
    </row>
    <row r="521" spans="2:8" ht="12.75">
      <c r="B521" s="170"/>
      <c r="C521" s="170"/>
      <c r="D521" s="170"/>
      <c r="E521" s="170"/>
      <c r="F521" s="170"/>
      <c r="G521" s="170"/>
      <c r="H521" s="170"/>
    </row>
    <row r="522" spans="2:8" ht="12.75">
      <c r="B522" s="170"/>
      <c r="C522" s="170"/>
      <c r="D522" s="170"/>
      <c r="E522" s="170"/>
      <c r="F522" s="170"/>
      <c r="G522" s="170"/>
      <c r="H522" s="170"/>
    </row>
    <row r="523" spans="2:8" ht="12.75">
      <c r="B523" s="170"/>
      <c r="C523" s="170"/>
      <c r="D523" s="170"/>
      <c r="E523" s="170"/>
      <c r="F523" s="170"/>
      <c r="G523" s="170"/>
      <c r="H523" s="170"/>
    </row>
    <row r="524" spans="2:8" ht="12.75">
      <c r="B524" s="170"/>
      <c r="C524" s="170"/>
      <c r="D524" s="170"/>
      <c r="E524" s="170"/>
      <c r="F524" s="170"/>
      <c r="G524" s="170"/>
      <c r="H524" s="170"/>
    </row>
    <row r="525" spans="2:8" ht="12.75">
      <c r="B525" s="170"/>
      <c r="C525" s="170"/>
      <c r="D525" s="170"/>
      <c r="E525" s="170"/>
      <c r="F525" s="170"/>
      <c r="G525" s="170"/>
      <c r="H525" s="170"/>
    </row>
    <row r="526" spans="2:8" ht="12.75">
      <c r="B526" s="170"/>
      <c r="C526" s="170"/>
      <c r="D526" s="170"/>
      <c r="E526" s="170"/>
      <c r="F526" s="170"/>
      <c r="G526" s="170"/>
      <c r="H526" s="170"/>
    </row>
    <row r="527" spans="2:8" ht="12.75">
      <c r="B527" s="170"/>
      <c r="C527" s="170"/>
      <c r="D527" s="170"/>
      <c r="E527" s="170"/>
      <c r="F527" s="170"/>
      <c r="G527" s="170"/>
      <c r="H527" s="170"/>
    </row>
    <row r="528" spans="2:8" ht="12.75">
      <c r="B528" s="170"/>
      <c r="C528" s="170"/>
      <c r="D528" s="170"/>
      <c r="E528" s="170"/>
      <c r="F528" s="170"/>
      <c r="G528" s="170"/>
      <c r="H528" s="170"/>
    </row>
    <row r="529" spans="2:8" ht="12.75">
      <c r="B529" s="170"/>
      <c r="C529" s="170"/>
      <c r="D529" s="170"/>
      <c r="E529" s="170"/>
      <c r="F529" s="170"/>
      <c r="G529" s="170"/>
      <c r="H529" s="170"/>
    </row>
    <row r="530" spans="2:8" ht="12.75">
      <c r="B530" s="170"/>
      <c r="C530" s="170"/>
      <c r="D530" s="170"/>
      <c r="E530" s="170"/>
      <c r="F530" s="170"/>
      <c r="G530" s="170"/>
      <c r="H530" s="170"/>
    </row>
    <row r="531" spans="2:8" ht="12.75">
      <c r="B531" s="170"/>
      <c r="C531" s="170"/>
      <c r="D531" s="170"/>
      <c r="E531" s="170"/>
      <c r="F531" s="170"/>
      <c r="G531" s="170"/>
      <c r="H531" s="170"/>
    </row>
    <row r="532" spans="2:8" ht="12.75">
      <c r="B532" s="170"/>
      <c r="C532" s="170"/>
      <c r="D532" s="170"/>
      <c r="E532" s="170"/>
      <c r="F532" s="170"/>
      <c r="G532" s="170"/>
      <c r="H532" s="170"/>
    </row>
    <row r="533" spans="2:8" ht="12.75">
      <c r="B533" s="170"/>
      <c r="C533" s="170"/>
      <c r="D533" s="170"/>
      <c r="E533" s="170"/>
      <c r="F533" s="170"/>
      <c r="G533" s="170"/>
      <c r="H533" s="170"/>
    </row>
    <row r="534" spans="2:8" ht="12.75">
      <c r="B534" s="170"/>
      <c r="C534" s="170"/>
      <c r="D534" s="170"/>
      <c r="E534" s="170"/>
      <c r="F534" s="170"/>
      <c r="G534" s="170"/>
      <c r="H534" s="170"/>
    </row>
    <row r="535" spans="2:8" ht="12.75">
      <c r="B535" s="170"/>
      <c r="C535" s="170"/>
      <c r="D535" s="170"/>
      <c r="E535" s="170"/>
      <c r="F535" s="170"/>
      <c r="G535" s="170"/>
      <c r="H535" s="170"/>
    </row>
    <row r="536" spans="2:8" ht="12.75">
      <c r="B536" s="170"/>
      <c r="C536" s="170"/>
      <c r="D536" s="170"/>
      <c r="E536" s="170"/>
      <c r="F536" s="170"/>
      <c r="G536" s="170"/>
      <c r="H536" s="170"/>
    </row>
    <row r="537" spans="2:8" ht="12.75">
      <c r="B537" s="170"/>
      <c r="C537" s="170"/>
      <c r="D537" s="170"/>
      <c r="E537" s="170"/>
      <c r="F537" s="170"/>
      <c r="G537" s="170"/>
      <c r="H537" s="170"/>
    </row>
    <row r="538" spans="2:8" ht="12.75">
      <c r="B538" s="170"/>
      <c r="C538" s="170"/>
      <c r="D538" s="170"/>
      <c r="E538" s="170"/>
      <c r="F538" s="170"/>
      <c r="G538" s="170"/>
      <c r="H538" s="170"/>
    </row>
    <row r="539" spans="2:8" ht="12.75">
      <c r="B539" s="170"/>
      <c r="C539" s="170"/>
      <c r="D539" s="170"/>
      <c r="E539" s="170"/>
      <c r="F539" s="170"/>
      <c r="G539" s="170"/>
      <c r="H539" s="170"/>
    </row>
    <row r="540" spans="2:8" ht="12.75">
      <c r="B540" s="170"/>
      <c r="C540" s="170"/>
      <c r="D540" s="170"/>
      <c r="E540" s="170"/>
      <c r="F540" s="170"/>
      <c r="G540" s="170"/>
      <c r="H540" s="170"/>
    </row>
    <row r="541" spans="2:8" ht="12.75">
      <c r="B541" s="170"/>
      <c r="C541" s="170"/>
      <c r="D541" s="170"/>
      <c r="E541" s="170"/>
      <c r="F541" s="170"/>
      <c r="G541" s="170"/>
      <c r="H541" s="170"/>
    </row>
    <row r="542" spans="2:8" ht="12.75">
      <c r="B542" s="170"/>
      <c r="C542" s="170"/>
      <c r="D542" s="170"/>
      <c r="E542" s="170"/>
      <c r="F542" s="170"/>
      <c r="G542" s="170"/>
      <c r="H542" s="170"/>
    </row>
    <row r="543" spans="2:8" ht="12.75">
      <c r="B543" s="170"/>
      <c r="C543" s="170"/>
      <c r="D543" s="170"/>
      <c r="E543" s="170"/>
      <c r="F543" s="170"/>
      <c r="G543" s="170"/>
      <c r="H543" s="170"/>
    </row>
    <row r="544" spans="2:8" ht="12.75">
      <c r="B544" s="170"/>
      <c r="C544" s="170"/>
      <c r="D544" s="170"/>
      <c r="E544" s="170"/>
      <c r="F544" s="170"/>
      <c r="G544" s="170"/>
      <c r="H544" s="170"/>
    </row>
    <row r="545" spans="2:8" ht="12.75">
      <c r="B545" s="170"/>
      <c r="C545" s="170"/>
      <c r="D545" s="170"/>
      <c r="E545" s="170"/>
      <c r="F545" s="170"/>
      <c r="G545" s="170"/>
      <c r="H545" s="170"/>
    </row>
    <row r="546" spans="2:8" ht="12.75">
      <c r="B546" s="170"/>
      <c r="C546" s="170"/>
      <c r="D546" s="170"/>
      <c r="E546" s="170"/>
      <c r="F546" s="170"/>
      <c r="G546" s="170"/>
      <c r="H546" s="170"/>
    </row>
    <row r="547" spans="2:8" ht="12.75">
      <c r="B547" s="170"/>
      <c r="C547" s="170"/>
      <c r="D547" s="170"/>
      <c r="E547" s="170"/>
      <c r="F547" s="170"/>
      <c r="G547" s="170"/>
      <c r="H547" s="170"/>
    </row>
    <row r="548" spans="2:8" ht="12.75">
      <c r="B548" s="170"/>
      <c r="C548" s="170"/>
      <c r="D548" s="170"/>
      <c r="E548" s="170"/>
      <c r="F548" s="170"/>
      <c r="G548" s="170"/>
      <c r="H548" s="170"/>
    </row>
    <row r="549" spans="2:8" ht="12.75">
      <c r="B549" s="170"/>
      <c r="C549" s="170"/>
      <c r="D549" s="170"/>
      <c r="E549" s="170"/>
      <c r="F549" s="170"/>
      <c r="G549" s="170"/>
      <c r="H549" s="170"/>
    </row>
    <row r="550" spans="2:8" ht="12.75">
      <c r="B550" s="170"/>
      <c r="C550" s="170"/>
      <c r="D550" s="170"/>
      <c r="E550" s="170"/>
      <c r="F550" s="170"/>
      <c r="G550" s="170"/>
      <c r="H550" s="170"/>
    </row>
    <row r="551" spans="2:8" ht="12.75">
      <c r="B551" s="170"/>
      <c r="C551" s="170"/>
      <c r="D551" s="170"/>
      <c r="E551" s="170"/>
      <c r="F551" s="170"/>
      <c r="G551" s="170"/>
      <c r="H551" s="170"/>
    </row>
    <row r="552" spans="2:8" ht="12.75">
      <c r="B552" s="170"/>
      <c r="C552" s="170"/>
      <c r="D552" s="170"/>
      <c r="E552" s="170"/>
      <c r="F552" s="170"/>
      <c r="G552" s="170"/>
      <c r="H552" s="170"/>
    </row>
    <row r="553" spans="2:8" ht="12.75">
      <c r="B553" s="170"/>
      <c r="C553" s="170"/>
      <c r="D553" s="170"/>
      <c r="E553" s="170"/>
      <c r="F553" s="170"/>
      <c r="G553" s="170"/>
      <c r="H553" s="170"/>
    </row>
    <row r="554" spans="2:8" ht="12.75">
      <c r="B554" s="170"/>
      <c r="C554" s="170"/>
      <c r="D554" s="170"/>
      <c r="E554" s="170"/>
      <c r="F554" s="170"/>
      <c r="G554" s="170"/>
      <c r="H554" s="170"/>
    </row>
    <row r="555" spans="2:8" ht="12.75">
      <c r="B555" s="170"/>
      <c r="C555" s="170"/>
      <c r="D555" s="170"/>
      <c r="E555" s="170"/>
      <c r="F555" s="170"/>
      <c r="G555" s="170"/>
      <c r="H555" s="170"/>
    </row>
    <row r="556" spans="2:8" ht="12.75">
      <c r="B556" s="170"/>
      <c r="C556" s="170"/>
      <c r="D556" s="170"/>
      <c r="E556" s="170"/>
      <c r="F556" s="170"/>
      <c r="G556" s="170"/>
      <c r="H556" s="170"/>
    </row>
    <row r="557" spans="2:8" ht="12.75">
      <c r="B557" s="170"/>
      <c r="C557" s="170"/>
      <c r="D557" s="170"/>
      <c r="E557" s="170"/>
      <c r="F557" s="170"/>
      <c r="G557" s="170"/>
      <c r="H557" s="170"/>
    </row>
    <row r="558" spans="2:8" ht="12.75">
      <c r="B558" s="170"/>
      <c r="C558" s="170"/>
      <c r="D558" s="170"/>
      <c r="E558" s="170"/>
      <c r="F558" s="170"/>
      <c r="G558" s="170"/>
      <c r="H558" s="170"/>
    </row>
    <row r="559" spans="2:8" ht="12.75">
      <c r="B559" s="170"/>
      <c r="C559" s="170"/>
      <c r="D559" s="170"/>
      <c r="E559" s="170"/>
      <c r="F559" s="170"/>
      <c r="G559" s="170"/>
      <c r="H559" s="170"/>
    </row>
    <row r="560" spans="2:8" ht="12.75">
      <c r="B560" s="170"/>
      <c r="C560" s="170"/>
      <c r="D560" s="170"/>
      <c r="E560" s="170"/>
      <c r="F560" s="170"/>
      <c r="G560" s="170"/>
      <c r="H560" s="170"/>
    </row>
    <row r="561" spans="2:8" ht="12.75">
      <c r="B561" s="170"/>
      <c r="C561" s="170"/>
      <c r="D561" s="170"/>
      <c r="E561" s="170"/>
      <c r="F561" s="170"/>
      <c r="G561" s="170"/>
      <c r="H561" s="170"/>
    </row>
    <row r="562" spans="2:8" ht="12.75">
      <c r="B562" s="170"/>
      <c r="C562" s="170"/>
      <c r="D562" s="170"/>
      <c r="E562" s="170"/>
      <c r="F562" s="170"/>
      <c r="G562" s="170"/>
      <c r="H562" s="170"/>
    </row>
    <row r="563" spans="2:8" ht="12.75">
      <c r="B563" s="170"/>
      <c r="C563" s="170"/>
      <c r="D563" s="170"/>
      <c r="E563" s="170"/>
      <c r="F563" s="170"/>
      <c r="G563" s="170"/>
      <c r="H563" s="170"/>
    </row>
    <row r="564" spans="2:8" ht="12.75">
      <c r="B564" s="170"/>
      <c r="C564" s="170"/>
      <c r="D564" s="170"/>
      <c r="E564" s="170"/>
      <c r="F564" s="170"/>
      <c r="G564" s="170"/>
      <c r="H564" s="170"/>
    </row>
    <row r="565" spans="2:8" ht="12.75">
      <c r="B565" s="170"/>
      <c r="C565" s="170"/>
      <c r="D565" s="170"/>
      <c r="E565" s="170"/>
      <c r="F565" s="170"/>
      <c r="G565" s="170"/>
      <c r="H565" s="170"/>
    </row>
    <row r="566" spans="2:8" ht="12.75">
      <c r="B566" s="170"/>
      <c r="C566" s="170"/>
      <c r="D566" s="170"/>
      <c r="E566" s="170"/>
      <c r="F566" s="170"/>
      <c r="G566" s="170"/>
      <c r="H566" s="170"/>
    </row>
    <row r="567" spans="2:8" ht="12.75">
      <c r="B567" s="170"/>
      <c r="C567" s="170"/>
      <c r="D567" s="170"/>
      <c r="E567" s="170"/>
      <c r="F567" s="170"/>
      <c r="G567" s="170"/>
      <c r="H567" s="170"/>
    </row>
    <row r="568" spans="2:8" ht="12.75">
      <c r="B568" s="170"/>
      <c r="C568" s="170"/>
      <c r="D568" s="170"/>
      <c r="E568" s="170"/>
      <c r="F568" s="170"/>
      <c r="G568" s="170"/>
      <c r="H568" s="170"/>
    </row>
    <row r="569" spans="2:8" ht="12.75">
      <c r="B569" s="170"/>
      <c r="C569" s="170"/>
      <c r="D569" s="170"/>
      <c r="E569" s="170"/>
      <c r="F569" s="170"/>
      <c r="G569" s="170"/>
      <c r="H569" s="170"/>
    </row>
    <row r="570" spans="2:8" ht="12.75">
      <c r="B570" s="170"/>
      <c r="C570" s="170"/>
      <c r="D570" s="170"/>
      <c r="E570" s="170"/>
      <c r="F570" s="170"/>
      <c r="G570" s="170"/>
      <c r="H570" s="170"/>
    </row>
    <row r="571" spans="2:8" ht="12.75">
      <c r="B571" s="170"/>
      <c r="C571" s="170"/>
      <c r="D571" s="170"/>
      <c r="E571" s="170"/>
      <c r="F571" s="170"/>
      <c r="G571" s="170"/>
      <c r="H571" s="170"/>
    </row>
    <row r="572" spans="2:8" ht="12.75">
      <c r="B572" s="170"/>
      <c r="C572" s="170"/>
      <c r="D572" s="170"/>
      <c r="E572" s="170"/>
      <c r="F572" s="170"/>
      <c r="G572" s="170"/>
      <c r="H572" s="170"/>
    </row>
    <row r="573" spans="2:8" ht="12.75">
      <c r="B573" s="170"/>
      <c r="C573" s="170"/>
      <c r="D573" s="170"/>
      <c r="E573" s="170"/>
      <c r="F573" s="170"/>
      <c r="G573" s="170"/>
      <c r="H573" s="170"/>
    </row>
    <row r="574" spans="2:8" ht="12.75">
      <c r="B574" s="170"/>
      <c r="C574" s="170"/>
      <c r="D574" s="170"/>
      <c r="E574" s="170"/>
      <c r="F574" s="170"/>
      <c r="G574" s="170"/>
      <c r="H574" s="170"/>
    </row>
    <row r="575" spans="2:8" ht="12.75">
      <c r="B575" s="170"/>
      <c r="C575" s="170"/>
      <c r="D575" s="170"/>
      <c r="E575" s="170"/>
      <c r="F575" s="170"/>
      <c r="G575" s="170"/>
      <c r="H575" s="170"/>
    </row>
    <row r="576" spans="2:8" ht="12.75">
      <c r="B576" s="170"/>
      <c r="C576" s="170"/>
      <c r="D576" s="170"/>
      <c r="E576" s="170"/>
      <c r="F576" s="170"/>
      <c r="G576" s="170"/>
      <c r="H576" s="170"/>
    </row>
    <row r="577" spans="2:8" ht="12.75">
      <c r="B577" s="170"/>
      <c r="C577" s="170"/>
      <c r="D577" s="170"/>
      <c r="E577" s="170"/>
      <c r="F577" s="170"/>
      <c r="G577" s="170"/>
      <c r="H577" s="170"/>
    </row>
    <row r="578" spans="2:8" ht="12.75">
      <c r="B578" s="170"/>
      <c r="C578" s="170"/>
      <c r="D578" s="170"/>
      <c r="E578" s="170"/>
      <c r="F578" s="170"/>
      <c r="G578" s="170"/>
      <c r="H578" s="170"/>
    </row>
    <row r="579" spans="2:8" ht="12.75">
      <c r="B579" s="170"/>
      <c r="C579" s="170"/>
      <c r="D579" s="170"/>
      <c r="E579" s="170"/>
      <c r="F579" s="170"/>
      <c r="G579" s="170"/>
      <c r="H579" s="170"/>
    </row>
    <row r="580" spans="2:8" ht="12.75">
      <c r="B580" s="170"/>
      <c r="C580" s="170"/>
      <c r="D580" s="170"/>
      <c r="E580" s="170"/>
      <c r="F580" s="170"/>
      <c r="G580" s="170"/>
      <c r="H580" s="170"/>
    </row>
    <row r="581" spans="2:8" ht="12.75">
      <c r="B581" s="170"/>
      <c r="C581" s="170"/>
      <c r="D581" s="170"/>
      <c r="E581" s="170"/>
      <c r="F581" s="170"/>
      <c r="G581" s="170"/>
      <c r="H581" s="170"/>
    </row>
    <row r="582" spans="2:8" ht="12.75">
      <c r="B582" s="170"/>
      <c r="C582" s="170"/>
      <c r="D582" s="170"/>
      <c r="E582" s="170"/>
      <c r="F582" s="170"/>
      <c r="G582" s="170"/>
      <c r="H582" s="170"/>
    </row>
    <row r="583" spans="2:8" ht="12.75">
      <c r="B583" s="170"/>
      <c r="C583" s="170"/>
      <c r="D583" s="170"/>
      <c r="E583" s="170"/>
      <c r="F583" s="170"/>
      <c r="G583" s="170"/>
      <c r="H583" s="170"/>
    </row>
    <row r="584" spans="2:8" ht="12.75">
      <c r="B584" s="170"/>
      <c r="C584" s="170"/>
      <c r="D584" s="170"/>
      <c r="E584" s="170"/>
      <c r="F584" s="170"/>
      <c r="G584" s="170"/>
      <c r="H584" s="170"/>
    </row>
    <row r="585" spans="2:8" ht="12.75">
      <c r="B585" s="170"/>
      <c r="C585" s="170"/>
      <c r="D585" s="170"/>
      <c r="E585" s="170"/>
      <c r="F585" s="170"/>
      <c r="G585" s="170"/>
      <c r="H585" s="170"/>
    </row>
    <row r="586" spans="2:8" ht="12.75">
      <c r="B586" s="170"/>
      <c r="C586" s="170"/>
      <c r="D586" s="170"/>
      <c r="E586" s="170"/>
      <c r="F586" s="170"/>
      <c r="G586" s="170"/>
      <c r="H586" s="170"/>
    </row>
    <row r="587" spans="2:8" ht="12.75">
      <c r="B587" s="170"/>
      <c r="C587" s="170"/>
      <c r="D587" s="170"/>
      <c r="E587" s="170"/>
      <c r="F587" s="170"/>
      <c r="G587" s="170"/>
      <c r="H587" s="170"/>
    </row>
    <row r="588" spans="2:8" ht="12.75">
      <c r="B588" s="170"/>
      <c r="C588" s="170"/>
      <c r="D588" s="170"/>
      <c r="E588" s="170"/>
      <c r="F588" s="170"/>
      <c r="G588" s="170"/>
      <c r="H588" s="170"/>
    </row>
    <row r="589" spans="2:8" ht="12.75">
      <c r="B589" s="170"/>
      <c r="C589" s="170"/>
      <c r="D589" s="170"/>
      <c r="E589" s="170"/>
      <c r="F589" s="170"/>
      <c r="G589" s="170"/>
      <c r="H589" s="170"/>
    </row>
    <row r="590" spans="2:8" ht="12.75">
      <c r="B590" s="170"/>
      <c r="C590" s="170"/>
      <c r="D590" s="170"/>
      <c r="E590" s="170"/>
      <c r="F590" s="170"/>
      <c r="G590" s="170"/>
      <c r="H590" s="170"/>
    </row>
    <row r="591" spans="2:8" ht="12.75">
      <c r="B591" s="170"/>
      <c r="C591" s="170"/>
      <c r="D591" s="170"/>
      <c r="E591" s="170"/>
      <c r="F591" s="170"/>
      <c r="G591" s="170"/>
      <c r="H591" s="170"/>
    </row>
    <row r="592" spans="2:8" ht="12.75">
      <c r="B592" s="170"/>
      <c r="C592" s="170"/>
      <c r="D592" s="170"/>
      <c r="E592" s="170"/>
      <c r="F592" s="170"/>
      <c r="G592" s="170"/>
      <c r="H592" s="170"/>
    </row>
    <row r="593" spans="2:8" ht="12.75">
      <c r="B593" s="170"/>
      <c r="C593" s="170"/>
      <c r="D593" s="170"/>
      <c r="E593" s="170"/>
      <c r="F593" s="170"/>
      <c r="G593" s="170"/>
      <c r="H593" s="170"/>
    </row>
    <row r="594" spans="2:8" ht="12.75">
      <c r="B594" s="170"/>
      <c r="C594" s="170"/>
      <c r="D594" s="170"/>
      <c r="E594" s="170"/>
      <c r="F594" s="170"/>
      <c r="G594" s="170"/>
      <c r="H594" s="170"/>
    </row>
    <row r="595" spans="2:8" ht="12.75">
      <c r="B595" s="170"/>
      <c r="C595" s="170"/>
      <c r="D595" s="170"/>
      <c r="E595" s="170"/>
      <c r="F595" s="170"/>
      <c r="G595" s="170"/>
      <c r="H595" s="170"/>
    </row>
    <row r="596" spans="2:8" ht="12.75">
      <c r="B596" s="170"/>
      <c r="C596" s="170"/>
      <c r="D596" s="170"/>
      <c r="E596" s="170"/>
      <c r="F596" s="170"/>
      <c r="G596" s="170"/>
      <c r="H596" s="170"/>
    </row>
  </sheetData>
  <sheetProtection password="92FA" sheet="1"/>
  <mergeCells count="13">
    <mergeCell ref="C1:G1"/>
    <mergeCell ref="C2:G2"/>
    <mergeCell ref="E6:G6"/>
    <mergeCell ref="F15:G15"/>
    <mergeCell ref="E4:G4"/>
    <mergeCell ref="D7:F7"/>
    <mergeCell ref="D14:E14"/>
    <mergeCell ref="G7:G12"/>
    <mergeCell ref="D16:G16"/>
    <mergeCell ref="D18:E18"/>
    <mergeCell ref="G20:H20"/>
    <mergeCell ref="D19:E19"/>
    <mergeCell ref="D17:G17"/>
  </mergeCells>
  <hyperlinks>
    <hyperlink ref="C1" r:id="rId1" display="www.prtumedak.org"/>
  </hyperlink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58"/>
  <sheetViews>
    <sheetView showGridLines="0" view="pageBreakPreview" zoomScaleSheetLayoutView="100" zoomScalePageLayoutView="0" workbookViewId="0" topLeftCell="A4">
      <selection activeCell="N24" sqref="N24"/>
    </sheetView>
  </sheetViews>
  <sheetFormatPr defaultColWidth="9.140625" defaultRowHeight="12.75"/>
  <cols>
    <col min="1" max="1" width="6.421875" style="0" customWidth="1"/>
    <col min="4" max="4" width="5.8515625" style="0" customWidth="1"/>
    <col min="8" max="8" width="5.421875" style="0" customWidth="1"/>
    <col min="9" max="9" width="12.421875" style="0" customWidth="1"/>
    <col min="10" max="10" width="7.7109375" style="0" customWidth="1"/>
  </cols>
  <sheetData>
    <row r="1" spans="1:11" ht="21.75" customHeight="1">
      <c r="A1" s="221" t="str">
        <f>Sheet1!A25</f>
        <v>Proceedings of The Mandal Educational Officer M.P.Tekmal</v>
      </c>
      <c r="B1" s="221"/>
      <c r="C1" s="221"/>
      <c r="D1" s="221"/>
      <c r="E1" s="221"/>
      <c r="F1" s="221"/>
      <c r="G1" s="221"/>
      <c r="H1" s="221"/>
      <c r="I1" s="221"/>
      <c r="J1" s="221"/>
      <c r="K1" s="221"/>
    </row>
    <row r="2" spans="1:11" ht="15.75" customHeight="1">
      <c r="A2" s="122"/>
      <c r="B2" s="122"/>
      <c r="C2" s="122"/>
      <c r="D2" s="122"/>
      <c r="E2" s="122"/>
      <c r="F2" s="122"/>
      <c r="G2" s="122"/>
      <c r="H2" s="122"/>
      <c r="I2" s="122"/>
      <c r="J2" s="122"/>
      <c r="K2" s="122"/>
    </row>
    <row r="3" spans="1:11" ht="20.25" customHeight="1">
      <c r="A3" s="224" t="str">
        <f>CONCATENATE("Present"," ",Data!D16)</f>
        <v>Present P.Veersangappa,B.Sc,B.Ed</v>
      </c>
      <c r="B3" s="224"/>
      <c r="C3" s="224"/>
      <c r="D3" s="224"/>
      <c r="E3" s="224"/>
      <c r="F3" s="224"/>
      <c r="G3" s="224"/>
      <c r="H3" s="224"/>
      <c r="I3" s="224"/>
      <c r="J3" s="224"/>
      <c r="K3" s="224"/>
    </row>
    <row r="4" spans="1:11" ht="9.75" customHeight="1">
      <c r="A4" s="113"/>
      <c r="B4" s="113"/>
      <c r="C4" s="113"/>
      <c r="D4" s="113"/>
      <c r="E4" s="113"/>
      <c r="F4" s="113"/>
      <c r="G4" s="113"/>
      <c r="H4" s="113"/>
      <c r="I4" s="113"/>
      <c r="J4" s="113"/>
      <c r="K4" s="113"/>
    </row>
    <row r="5" spans="2:11" ht="27.75" customHeight="1">
      <c r="B5" s="114" t="s">
        <v>15</v>
      </c>
      <c r="C5" s="223" t="str">
        <f>Data!D15</f>
        <v>A2/12/2011</v>
      </c>
      <c r="D5" s="223"/>
      <c r="E5" s="223"/>
      <c r="F5" s="6"/>
      <c r="G5" s="6"/>
      <c r="H5" s="114" t="s">
        <v>16</v>
      </c>
      <c r="I5" s="225">
        <f>Data!F15</f>
        <v>40634</v>
      </c>
      <c r="J5" s="226"/>
      <c r="K5" s="226"/>
    </row>
    <row r="8" spans="3:11" ht="15.75" customHeight="1">
      <c r="C8" s="5" t="s">
        <v>0</v>
      </c>
      <c r="D8" s="215" t="str">
        <f>Sheet1!C5</f>
        <v>Earned Leave-Encashment of Earned Leave in respect of  Sri R.Ramesh,,MP.PS .Tekmal,Mandal  Tekmal- Sanction Orders - Issued.</v>
      </c>
      <c r="E8" s="215"/>
      <c r="F8" s="215"/>
      <c r="G8" s="215"/>
      <c r="H8" s="215"/>
      <c r="I8" s="215"/>
      <c r="J8" s="215"/>
      <c r="K8" s="215"/>
    </row>
    <row r="9" spans="2:11" ht="15.75" customHeight="1">
      <c r="B9" s="2"/>
      <c r="C9" s="106"/>
      <c r="D9" s="215"/>
      <c r="E9" s="215"/>
      <c r="F9" s="215"/>
      <c r="G9" s="215"/>
      <c r="H9" s="215"/>
      <c r="I9" s="215"/>
      <c r="J9" s="215"/>
      <c r="K9" s="215"/>
    </row>
    <row r="10" spans="2:11" ht="10.5" customHeight="1">
      <c r="B10" s="2"/>
      <c r="C10" s="106"/>
      <c r="D10" s="215"/>
      <c r="E10" s="215"/>
      <c r="F10" s="215"/>
      <c r="G10" s="215"/>
      <c r="H10" s="215"/>
      <c r="I10" s="215"/>
      <c r="J10" s="215"/>
      <c r="K10" s="215"/>
    </row>
    <row r="11" spans="2:11" ht="15.75" customHeight="1" hidden="1">
      <c r="B11" s="2"/>
      <c r="C11" s="106"/>
      <c r="D11" s="215"/>
      <c r="E11" s="215"/>
      <c r="F11" s="215"/>
      <c r="G11" s="215"/>
      <c r="H11" s="215"/>
      <c r="I11" s="215"/>
      <c r="J11" s="215"/>
      <c r="K11" s="215"/>
    </row>
    <row r="12" spans="2:11" ht="15.75" customHeight="1" hidden="1">
      <c r="B12" s="2"/>
      <c r="C12" s="106"/>
      <c r="D12" s="215"/>
      <c r="E12" s="215"/>
      <c r="F12" s="215"/>
      <c r="G12" s="215"/>
      <c r="H12" s="215"/>
      <c r="I12" s="215"/>
      <c r="J12" s="215"/>
      <c r="K12" s="215"/>
    </row>
    <row r="13" spans="2:11" ht="15.75">
      <c r="B13" s="2"/>
      <c r="D13" s="215"/>
      <c r="E13" s="215"/>
      <c r="F13" s="215"/>
      <c r="G13" s="215"/>
      <c r="H13" s="215"/>
      <c r="I13" s="215"/>
      <c r="J13" s="215"/>
      <c r="K13" s="215"/>
    </row>
    <row r="14" spans="2:11" ht="18.75">
      <c r="B14" s="2"/>
      <c r="D14" s="3"/>
      <c r="E14" s="3"/>
      <c r="F14" s="3"/>
      <c r="G14" s="3"/>
      <c r="H14" s="3"/>
      <c r="I14" s="3"/>
      <c r="J14" s="3"/>
      <c r="K14" s="3"/>
    </row>
    <row r="15" spans="3:9" ht="18.75">
      <c r="C15" s="5" t="s">
        <v>6</v>
      </c>
      <c r="D15" s="107" t="s">
        <v>323</v>
      </c>
      <c r="E15" s="107"/>
      <c r="F15" s="107"/>
      <c r="G15" s="107"/>
      <c r="H15" s="107"/>
      <c r="I15" s="107"/>
    </row>
    <row r="16" spans="4:9" ht="18.75">
      <c r="D16" s="107" t="s">
        <v>291</v>
      </c>
      <c r="E16" s="107"/>
      <c r="F16" s="107"/>
      <c r="G16" s="107"/>
      <c r="H16" s="107"/>
      <c r="I16" s="107"/>
    </row>
    <row r="17" spans="1:11" ht="18.75" customHeight="1">
      <c r="A17" s="220"/>
      <c r="B17" s="220"/>
      <c r="C17" s="220"/>
      <c r="D17" s="220"/>
      <c r="E17" s="220"/>
      <c r="F17" s="220"/>
      <c r="G17" s="220"/>
      <c r="H17" s="220"/>
      <c r="I17" s="220"/>
      <c r="J17" s="220"/>
      <c r="K17" s="220"/>
    </row>
    <row r="18" spans="1:11" ht="18.75" customHeight="1">
      <c r="A18" s="79"/>
      <c r="B18" s="79"/>
      <c r="C18" s="79"/>
      <c r="D18" s="79"/>
      <c r="E18" s="79"/>
      <c r="F18" s="79"/>
      <c r="G18" s="79"/>
      <c r="H18" s="79"/>
      <c r="I18" s="79"/>
      <c r="J18" s="79"/>
      <c r="K18" s="79"/>
    </row>
    <row r="20" spans="2:9" ht="18.75">
      <c r="B20" s="222" t="s">
        <v>7</v>
      </c>
      <c r="C20" s="222"/>
      <c r="D20" s="222"/>
      <c r="E20" s="1"/>
      <c r="F20" s="1"/>
      <c r="G20" s="1"/>
      <c r="H20" s="1"/>
      <c r="I20" s="1"/>
    </row>
    <row r="21" spans="2:11" ht="8.25" customHeight="1">
      <c r="B21" s="215" t="str">
        <f>CONCATENATE("         ",Sheet1!B12)</f>
        <v>                   SriR.Ramesh,Seconday Grade Teacher,MP.PS .Tekmal ,Mandal: Tekmal -has  retired from Service on 30.7.2013</v>
      </c>
      <c r="C21" s="215"/>
      <c r="D21" s="215"/>
      <c r="E21" s="215"/>
      <c r="F21" s="215"/>
      <c r="G21" s="215"/>
      <c r="H21" s="215"/>
      <c r="I21" s="215"/>
      <c r="J21" s="215"/>
      <c r="K21" s="215"/>
    </row>
    <row r="22" spans="2:11" ht="12.75" customHeight="1" hidden="1">
      <c r="B22" s="215"/>
      <c r="C22" s="215"/>
      <c r="D22" s="215"/>
      <c r="E22" s="215"/>
      <c r="F22" s="215"/>
      <c r="G22" s="215"/>
      <c r="H22" s="215"/>
      <c r="I22" s="215"/>
      <c r="J22" s="215"/>
      <c r="K22" s="215"/>
    </row>
    <row r="23" spans="2:11" ht="29.25" customHeight="1">
      <c r="B23" s="215"/>
      <c r="C23" s="215"/>
      <c r="D23" s="215"/>
      <c r="E23" s="215"/>
      <c r="F23" s="215"/>
      <c r="G23" s="215"/>
      <c r="H23" s="215"/>
      <c r="I23" s="215"/>
      <c r="J23" s="215"/>
      <c r="K23" s="215"/>
    </row>
    <row r="24" spans="2:10" ht="13.5" customHeight="1">
      <c r="B24" s="3"/>
      <c r="C24" s="3"/>
      <c r="D24" s="3"/>
      <c r="E24" s="3"/>
      <c r="F24" s="3"/>
      <c r="G24" s="3"/>
      <c r="H24" s="3"/>
      <c r="I24" s="3"/>
      <c r="J24" s="3"/>
    </row>
    <row r="25" spans="2:10" ht="13.5" customHeight="1">
      <c r="B25" s="3"/>
      <c r="C25" s="3"/>
      <c r="D25" s="3"/>
      <c r="E25" s="3"/>
      <c r="F25" s="3"/>
      <c r="G25" s="3"/>
      <c r="H25" s="3"/>
      <c r="I25" s="3"/>
      <c r="J25" s="3"/>
    </row>
    <row r="26" spans="2:11" ht="12.75" customHeight="1">
      <c r="B26" s="215" t="str">
        <f>CONCATENATE(Sheet1!B20,Data!E20)</f>
        <v>                     After verifying the Service Book of The Individual it is found that there are 300  Days  Earned Leaves are balace in Leave account of his Service Book vide SR.Page No</v>
      </c>
      <c r="C26" s="215"/>
      <c r="D26" s="215"/>
      <c r="E26" s="215"/>
      <c r="F26" s="215"/>
      <c r="G26" s="215"/>
      <c r="H26" s="215"/>
      <c r="I26" s="215"/>
      <c r="J26" s="215"/>
      <c r="K26" s="215"/>
    </row>
    <row r="27" spans="2:11" ht="12.75" customHeight="1">
      <c r="B27" s="215"/>
      <c r="C27" s="215"/>
      <c r="D27" s="215"/>
      <c r="E27" s="215"/>
      <c r="F27" s="215"/>
      <c r="G27" s="215"/>
      <c r="H27" s="215"/>
      <c r="I27" s="215"/>
      <c r="J27" s="215"/>
      <c r="K27" s="215"/>
    </row>
    <row r="28" spans="2:11" ht="12.75" customHeight="1">
      <c r="B28" s="215"/>
      <c r="C28" s="215"/>
      <c r="D28" s="215"/>
      <c r="E28" s="215"/>
      <c r="F28" s="215"/>
      <c r="G28" s="215"/>
      <c r="H28" s="215"/>
      <c r="I28" s="215"/>
      <c r="J28" s="215"/>
      <c r="K28" s="215"/>
    </row>
    <row r="29" spans="2:11" ht="12.75" customHeight="1">
      <c r="B29" s="215"/>
      <c r="C29" s="215"/>
      <c r="D29" s="215"/>
      <c r="E29" s="215"/>
      <c r="F29" s="215"/>
      <c r="G29" s="215"/>
      <c r="H29" s="215"/>
      <c r="I29" s="215"/>
      <c r="J29" s="215"/>
      <c r="K29" s="215"/>
    </row>
    <row r="30" spans="2:11" ht="8.25" customHeight="1">
      <c r="B30" s="215"/>
      <c r="C30" s="215"/>
      <c r="D30" s="215"/>
      <c r="E30" s="215"/>
      <c r="F30" s="215"/>
      <c r="G30" s="215"/>
      <c r="H30" s="215"/>
      <c r="I30" s="215"/>
      <c r="J30" s="215"/>
      <c r="K30" s="215"/>
    </row>
    <row r="31" spans="2:11" ht="12.75" customHeight="1" hidden="1">
      <c r="B31" s="215"/>
      <c r="C31" s="215"/>
      <c r="D31" s="215"/>
      <c r="E31" s="215"/>
      <c r="F31" s="215"/>
      <c r="G31" s="215"/>
      <c r="H31" s="215"/>
      <c r="I31" s="215"/>
      <c r="J31" s="215"/>
      <c r="K31" s="215"/>
    </row>
    <row r="32" spans="2:10" ht="8.25" customHeight="1">
      <c r="B32" s="3"/>
      <c r="C32" s="3"/>
      <c r="D32" s="3"/>
      <c r="E32" s="3"/>
      <c r="F32" s="3"/>
      <c r="G32" s="3"/>
      <c r="H32" s="3"/>
      <c r="I32" s="3"/>
      <c r="J32" s="3"/>
    </row>
    <row r="33" spans="2:10" ht="8.25" customHeight="1">
      <c r="B33" s="3"/>
      <c r="C33" s="3"/>
      <c r="D33" s="3"/>
      <c r="E33" s="3"/>
      <c r="F33" s="3"/>
      <c r="G33" s="3"/>
      <c r="H33" s="3"/>
      <c r="I33" s="3"/>
      <c r="J33" s="3"/>
    </row>
    <row r="34" spans="2:11" ht="12.75" customHeight="1">
      <c r="B34" s="215" t="str">
        <f>Sheet1!B26</f>
        <v>                     In view of the above Government Orders the,"Mandal Educational Officer Mandal Tekmal is Pleased to Sanction 300 days encashment of Earned Leaves with full Pay and allowances equilvalent to leave Salary as the existing rates of emoluments as on the date retirement for the period of EL's permitted to encash</v>
      </c>
      <c r="C34" s="215"/>
      <c r="D34" s="215"/>
      <c r="E34" s="215"/>
      <c r="F34" s="215"/>
      <c r="G34" s="215"/>
      <c r="H34" s="215"/>
      <c r="I34" s="215"/>
      <c r="J34" s="215"/>
      <c r="K34" s="215"/>
    </row>
    <row r="35" spans="2:11" ht="12.75" customHeight="1">
      <c r="B35" s="215"/>
      <c r="C35" s="215"/>
      <c r="D35" s="215"/>
      <c r="E35" s="215"/>
      <c r="F35" s="215"/>
      <c r="G35" s="215"/>
      <c r="H35" s="215"/>
      <c r="I35" s="215"/>
      <c r="J35" s="215"/>
      <c r="K35" s="215"/>
    </row>
    <row r="36" spans="2:11" ht="12.75" customHeight="1">
      <c r="B36" s="215"/>
      <c r="C36" s="215"/>
      <c r="D36" s="215"/>
      <c r="E36" s="215"/>
      <c r="F36" s="215"/>
      <c r="G36" s="215"/>
      <c r="H36" s="215"/>
      <c r="I36" s="215"/>
      <c r="J36" s="215"/>
      <c r="K36" s="215"/>
    </row>
    <row r="37" spans="2:11" ht="12.75" customHeight="1">
      <c r="B37" s="215"/>
      <c r="C37" s="215"/>
      <c r="D37" s="215"/>
      <c r="E37" s="215"/>
      <c r="F37" s="215"/>
      <c r="G37" s="215"/>
      <c r="H37" s="215"/>
      <c r="I37" s="215"/>
      <c r="J37" s="215"/>
      <c r="K37" s="215"/>
    </row>
    <row r="38" spans="2:11" ht="12.75" customHeight="1">
      <c r="B38" s="215"/>
      <c r="C38" s="215"/>
      <c r="D38" s="215"/>
      <c r="E38" s="215"/>
      <c r="F38" s="215"/>
      <c r="G38" s="215"/>
      <c r="H38" s="215"/>
      <c r="I38" s="215"/>
      <c r="J38" s="215"/>
      <c r="K38" s="215"/>
    </row>
    <row r="39" spans="2:11" ht="12.75" customHeight="1">
      <c r="B39" s="215"/>
      <c r="C39" s="215"/>
      <c r="D39" s="215"/>
      <c r="E39" s="215"/>
      <c r="F39" s="215"/>
      <c r="G39" s="215"/>
      <c r="H39" s="215"/>
      <c r="I39" s="215"/>
      <c r="J39" s="215"/>
      <c r="K39" s="215"/>
    </row>
    <row r="40" spans="2:11" ht="12.75" customHeight="1">
      <c r="B40" s="215"/>
      <c r="C40" s="215"/>
      <c r="D40" s="215"/>
      <c r="E40" s="215"/>
      <c r="F40" s="215"/>
      <c r="G40" s="215"/>
      <c r="H40" s="215"/>
      <c r="I40" s="215"/>
      <c r="J40" s="215"/>
      <c r="K40" s="215"/>
    </row>
    <row r="41" spans="2:11" ht="11.25" customHeight="1">
      <c r="B41" s="215"/>
      <c r="C41" s="215"/>
      <c r="D41" s="215"/>
      <c r="E41" s="215"/>
      <c r="F41" s="215"/>
      <c r="G41" s="215"/>
      <c r="H41" s="215"/>
      <c r="I41" s="215"/>
      <c r="J41" s="215"/>
      <c r="K41" s="215"/>
    </row>
    <row r="42" spans="2:11" ht="12.75" customHeight="1" hidden="1">
      <c r="B42" s="215"/>
      <c r="C42" s="215"/>
      <c r="D42" s="215"/>
      <c r="E42" s="215"/>
      <c r="F42" s="215"/>
      <c r="G42" s="215"/>
      <c r="H42" s="215"/>
      <c r="I42" s="215"/>
      <c r="J42" s="215"/>
      <c r="K42" s="215"/>
    </row>
    <row r="43" spans="2:11" ht="18.75" customHeight="1">
      <c r="B43" s="215" t="s">
        <v>328</v>
      </c>
      <c r="C43" s="215"/>
      <c r="D43" s="215"/>
      <c r="E43" s="215"/>
      <c r="F43" s="215"/>
      <c r="G43" s="215"/>
      <c r="H43" s="215"/>
      <c r="I43" s="215"/>
      <c r="J43" s="215"/>
      <c r="K43" s="215"/>
    </row>
    <row r="44" spans="2:11" ht="12.75" customHeight="1">
      <c r="B44" s="215"/>
      <c r="C44" s="215"/>
      <c r="D44" s="215"/>
      <c r="E44" s="215"/>
      <c r="F44" s="215"/>
      <c r="G44" s="215"/>
      <c r="H44" s="215"/>
      <c r="I44" s="215"/>
      <c r="J44" s="215"/>
      <c r="K44" s="215"/>
    </row>
    <row r="45" spans="2:11" ht="9.75" customHeight="1">
      <c r="B45" s="215"/>
      <c r="C45" s="215"/>
      <c r="D45" s="215"/>
      <c r="E45" s="215"/>
      <c r="F45" s="215"/>
      <c r="G45" s="215"/>
      <c r="H45" s="215"/>
      <c r="I45" s="215"/>
      <c r="J45" s="215"/>
      <c r="K45" s="215"/>
    </row>
    <row r="46" spans="2:11" ht="12.75" customHeight="1" hidden="1">
      <c r="B46" s="215"/>
      <c r="C46" s="215"/>
      <c r="D46" s="215"/>
      <c r="E46" s="215"/>
      <c r="F46" s="215"/>
      <c r="G46" s="215"/>
      <c r="H46" s="215"/>
      <c r="I46" s="215"/>
      <c r="J46" s="215"/>
      <c r="K46" s="215"/>
    </row>
    <row r="47" spans="2:11" ht="12.75" customHeight="1" hidden="1">
      <c r="B47" s="215"/>
      <c r="C47" s="215"/>
      <c r="D47" s="215"/>
      <c r="E47" s="215"/>
      <c r="F47" s="215"/>
      <c r="G47" s="215"/>
      <c r="H47" s="215"/>
      <c r="I47" s="215"/>
      <c r="J47" s="215"/>
      <c r="K47" s="215"/>
    </row>
    <row r="48" spans="2:11" ht="39.75" customHeight="1" hidden="1">
      <c r="B48" s="215"/>
      <c r="C48" s="215"/>
      <c r="D48" s="215"/>
      <c r="E48" s="215"/>
      <c r="F48" s="215"/>
      <c r="G48" s="215"/>
      <c r="H48" s="215"/>
      <c r="I48" s="215"/>
      <c r="J48" s="215"/>
      <c r="K48" s="215"/>
    </row>
    <row r="49" spans="2:11" ht="63.75" customHeight="1">
      <c r="B49" s="215" t="str">
        <f>HPL!B50</f>
        <v>               The Individual is informed that if any excess payments are noticed at a latter date in audit due to erroneous fixation of Pay,such excess amount shall be reocovered from him in lumpsum with out any further notice.</v>
      </c>
      <c r="C49" s="215"/>
      <c r="D49" s="215"/>
      <c r="E49" s="215"/>
      <c r="F49" s="215"/>
      <c r="G49" s="215"/>
      <c r="H49" s="215"/>
      <c r="I49" s="215"/>
      <c r="J49" s="215"/>
      <c r="K49" s="215"/>
    </row>
    <row r="50" spans="2:11" ht="21" customHeight="1">
      <c r="B50" s="216"/>
      <c r="C50" s="216"/>
      <c r="D50" s="216"/>
      <c r="E50" s="216"/>
      <c r="F50" s="216"/>
      <c r="G50" s="216"/>
      <c r="H50" s="216"/>
      <c r="I50" s="216"/>
      <c r="J50" s="216"/>
      <c r="K50" s="216"/>
    </row>
    <row r="51" spans="2:11" ht="18.75">
      <c r="B51" s="4" t="s">
        <v>14</v>
      </c>
      <c r="H51" s="218" t="str">
        <f>HPL!H59</f>
        <v>Mandal Educational Officer</v>
      </c>
      <c r="I51" s="218"/>
      <c r="J51" s="218"/>
      <c r="K51" s="218"/>
    </row>
    <row r="52" spans="2:11" ht="18.75">
      <c r="B52" s="216" t="str">
        <f>CONCATENATE(Sheet1!L113,".",Data!E4," ",Sheet1!E56," ","Retired")</f>
        <v>Sri.R.Ramesh Seconday Grade Teacher Retired</v>
      </c>
      <c r="C52" s="216"/>
      <c r="D52" s="216"/>
      <c r="E52" s="216"/>
      <c r="H52" s="219" t="str">
        <f>HPL!H60</f>
        <v>M.P.Tekmal</v>
      </c>
      <c r="I52" s="219"/>
      <c r="J52" s="219"/>
      <c r="K52" s="219"/>
    </row>
    <row r="53" spans="2:5" ht="18.75">
      <c r="B53" s="216" t="str">
        <f>Sheet1!F91</f>
        <v>MP.PS .Tekmal</v>
      </c>
      <c r="C53" s="216"/>
      <c r="D53" s="216"/>
      <c r="E53" s="216"/>
    </row>
    <row r="54" spans="2:5" ht="18.75">
      <c r="B54" s="107" t="str">
        <f>CONCATENATE("Copy Submitted to STO",Data!D19)</f>
        <v>Copy Submitted to STOJogipet</v>
      </c>
      <c r="C54" s="107"/>
      <c r="D54" s="107"/>
      <c r="E54" s="107"/>
    </row>
    <row r="55" spans="2:5" ht="18.75">
      <c r="B55" s="216" t="s">
        <v>283</v>
      </c>
      <c r="C55" s="217"/>
      <c r="D55" s="217"/>
      <c r="E55" s="217"/>
    </row>
    <row r="58" spans="1:11" ht="18.75">
      <c r="A58" s="138" t="s">
        <v>325</v>
      </c>
      <c r="B58" s="139"/>
      <c r="C58" s="139"/>
      <c r="D58" s="139"/>
      <c r="E58" s="139"/>
      <c r="G58" s="213"/>
      <c r="H58" s="214"/>
      <c r="I58" s="214"/>
      <c r="J58" s="214"/>
      <c r="K58" s="214"/>
    </row>
  </sheetData>
  <sheetProtection selectLockedCells="1" selectUnlockedCells="1"/>
  <mergeCells count="19">
    <mergeCell ref="B21:K23"/>
    <mergeCell ref="B26:K31"/>
    <mergeCell ref="A17:K17"/>
    <mergeCell ref="A1:K1"/>
    <mergeCell ref="B20:D20"/>
    <mergeCell ref="D8:K13"/>
    <mergeCell ref="C5:E5"/>
    <mergeCell ref="A3:K3"/>
    <mergeCell ref="I5:K5"/>
    <mergeCell ref="G58:K58"/>
    <mergeCell ref="B34:K42"/>
    <mergeCell ref="B50:K50"/>
    <mergeCell ref="B52:E52"/>
    <mergeCell ref="B55:E55"/>
    <mergeCell ref="B53:E53"/>
    <mergeCell ref="B43:K48"/>
    <mergeCell ref="H51:K51"/>
    <mergeCell ref="H52:K52"/>
    <mergeCell ref="B49:K49"/>
  </mergeCells>
  <printOptions/>
  <pageMargins left="0.75" right="0.25" top="0.37" bottom="0.52" header="0.22" footer="0.52"/>
  <pageSetup horizontalDpi="300" verticalDpi="300" orientation="portrait" paperSize="5" r:id="rId1"/>
</worksheet>
</file>

<file path=xl/worksheets/sheet4.xml><?xml version="1.0" encoding="utf-8"?>
<worksheet xmlns="http://schemas.openxmlformats.org/spreadsheetml/2006/main" xmlns:r="http://schemas.openxmlformats.org/officeDocument/2006/relationships">
  <dimension ref="A1:K68"/>
  <sheetViews>
    <sheetView showGridLines="0" view="pageBreakPreview" zoomScaleSheetLayoutView="100" zoomScalePageLayoutView="0" workbookViewId="0" topLeftCell="A1">
      <selection activeCell="I6" sqref="I6"/>
    </sheetView>
  </sheetViews>
  <sheetFormatPr defaultColWidth="9.140625" defaultRowHeight="12.75"/>
  <cols>
    <col min="1" max="1" width="6.421875" style="0" customWidth="1"/>
    <col min="4" max="4" width="5.8515625" style="0" customWidth="1"/>
    <col min="8" max="8" width="5.421875" style="0" customWidth="1"/>
    <col min="9" max="9" width="12.421875" style="0" customWidth="1"/>
    <col min="10" max="10" width="7.7109375" style="0" customWidth="1"/>
  </cols>
  <sheetData>
    <row r="1" spans="1:11" ht="22.5">
      <c r="A1" s="221" t="str">
        <f>Sheet1!A25</f>
        <v>Proceedings of The Mandal Educational Officer M.P.Tekmal</v>
      </c>
      <c r="B1" s="221"/>
      <c r="C1" s="221"/>
      <c r="D1" s="221"/>
      <c r="E1" s="221"/>
      <c r="F1" s="221"/>
      <c r="G1" s="221"/>
      <c r="H1" s="221"/>
      <c r="I1" s="221"/>
      <c r="J1" s="221"/>
      <c r="K1" s="221"/>
    </row>
    <row r="2" spans="1:11" ht="8.25" customHeight="1">
      <c r="A2" s="122"/>
      <c r="B2" s="122"/>
      <c r="C2" s="122"/>
      <c r="D2" s="122"/>
      <c r="E2" s="122"/>
      <c r="F2" s="122"/>
      <c r="G2" s="122"/>
      <c r="H2" s="122"/>
      <c r="I2" s="122"/>
      <c r="J2" s="122"/>
      <c r="K2" s="122"/>
    </row>
    <row r="3" spans="1:11" ht="20.25">
      <c r="A3" s="224" t="str">
        <f>CONCATENATE("Present"," ",Data!D16)</f>
        <v>Present P.Veersangappa,B.Sc,B.Ed</v>
      </c>
      <c r="B3" s="224"/>
      <c r="C3" s="224"/>
      <c r="D3" s="224"/>
      <c r="E3" s="224"/>
      <c r="F3" s="224"/>
      <c r="G3" s="224"/>
      <c r="H3" s="224"/>
      <c r="I3" s="224"/>
      <c r="J3" s="224"/>
      <c r="K3" s="224"/>
    </row>
    <row r="4" spans="1:11" ht="20.25">
      <c r="A4" s="113"/>
      <c r="B4" s="113"/>
      <c r="C4" s="113"/>
      <c r="D4" s="113"/>
      <c r="E4" s="113"/>
      <c r="F4" s="113"/>
      <c r="G4" s="113"/>
      <c r="H4" s="113"/>
      <c r="I4" s="113"/>
      <c r="J4" s="113"/>
      <c r="K4" s="113"/>
    </row>
    <row r="5" spans="2:11" ht="12.75">
      <c r="B5" s="114" t="s">
        <v>15</v>
      </c>
      <c r="C5" s="223" t="str">
        <f>Data!D15</f>
        <v>A2/12/2011</v>
      </c>
      <c r="D5" s="223"/>
      <c r="E5" s="223"/>
      <c r="F5" s="6"/>
      <c r="G5" s="6"/>
      <c r="H5" s="114" t="s">
        <v>16</v>
      </c>
      <c r="I5" s="169">
        <f>Data!F15</f>
        <v>40634</v>
      </c>
      <c r="J5" s="114"/>
      <c r="K5" s="114"/>
    </row>
    <row r="8" spans="3:11" ht="18.75">
      <c r="C8" s="5" t="s">
        <v>0</v>
      </c>
      <c r="D8" s="215" t="str">
        <f>Sheet1!D157</f>
        <v>Leave Rules-Recommendation of RPS-2010 Encashment  of Half Pay Leave in respect of Sri R.Ramesh,Seconday Grade Teacher MP.PS .Tekmal- Sanction Orders - Issued.</v>
      </c>
      <c r="E8" s="215"/>
      <c r="F8" s="215"/>
      <c r="G8" s="215"/>
      <c r="H8" s="215"/>
      <c r="I8" s="215"/>
      <c r="J8" s="215"/>
      <c r="K8" s="215"/>
    </row>
    <row r="9" spans="2:11" ht="18.75">
      <c r="B9" s="2"/>
      <c r="C9" s="106"/>
      <c r="D9" s="215"/>
      <c r="E9" s="215"/>
      <c r="F9" s="215"/>
      <c r="G9" s="215"/>
      <c r="H9" s="215"/>
      <c r="I9" s="215"/>
      <c r="J9" s="215"/>
      <c r="K9" s="215"/>
    </row>
    <row r="10" spans="2:11" ht="18.75">
      <c r="B10" s="2"/>
      <c r="C10" s="106"/>
      <c r="D10" s="215"/>
      <c r="E10" s="215"/>
      <c r="F10" s="215"/>
      <c r="G10" s="215"/>
      <c r="H10" s="215"/>
      <c r="I10" s="215"/>
      <c r="J10" s="215"/>
      <c r="K10" s="215"/>
    </row>
    <row r="11" spans="2:11" ht="7.5" customHeight="1">
      <c r="B11" s="2"/>
      <c r="C11" s="106"/>
      <c r="D11" s="215"/>
      <c r="E11" s="215"/>
      <c r="F11" s="215"/>
      <c r="G11" s="215"/>
      <c r="H11" s="215"/>
      <c r="I11" s="215"/>
      <c r="J11" s="215"/>
      <c r="K11" s="215"/>
    </row>
    <row r="12" spans="2:11" ht="18.75" hidden="1">
      <c r="B12" s="2"/>
      <c r="C12" s="106"/>
      <c r="D12" s="215"/>
      <c r="E12" s="215"/>
      <c r="F12" s="215"/>
      <c r="G12" s="215"/>
      <c r="H12" s="215"/>
      <c r="I12" s="215"/>
      <c r="J12" s="215"/>
      <c r="K12" s="215"/>
    </row>
    <row r="13" spans="2:11" ht="15.75" hidden="1">
      <c r="B13" s="2"/>
      <c r="D13" s="215"/>
      <c r="E13" s="215"/>
      <c r="F13" s="215"/>
      <c r="G13" s="215"/>
      <c r="H13" s="215"/>
      <c r="I13" s="215"/>
      <c r="J13" s="215"/>
      <c r="K13" s="215"/>
    </row>
    <row r="14" spans="3:9" ht="18.75">
      <c r="C14" s="5" t="s">
        <v>6</v>
      </c>
      <c r="D14" s="107" t="s">
        <v>290</v>
      </c>
      <c r="E14" s="107"/>
      <c r="F14" s="107"/>
      <c r="G14" s="107"/>
      <c r="H14" s="107"/>
      <c r="I14" s="107"/>
    </row>
    <row r="15" spans="4:9" ht="18.75">
      <c r="D15" s="107" t="s">
        <v>291</v>
      </c>
      <c r="E15" s="107"/>
      <c r="F15" s="107"/>
      <c r="G15" s="107"/>
      <c r="H15" s="107"/>
      <c r="I15" s="107"/>
    </row>
    <row r="16" spans="1:11" ht="12.75">
      <c r="A16" s="220"/>
      <c r="B16" s="220"/>
      <c r="C16" s="220"/>
      <c r="D16" s="220"/>
      <c r="E16" s="220"/>
      <c r="F16" s="220"/>
      <c r="G16" s="220"/>
      <c r="H16" s="220"/>
      <c r="I16" s="220"/>
      <c r="J16" s="220"/>
      <c r="K16" s="220"/>
    </row>
    <row r="18" spans="2:9" ht="18.75">
      <c r="B18" s="222" t="s">
        <v>7</v>
      </c>
      <c r="C18" s="222"/>
      <c r="D18" s="222"/>
      <c r="E18" s="1"/>
      <c r="F18" s="1"/>
      <c r="G18" s="1"/>
      <c r="H18" s="1"/>
      <c r="I18" s="1"/>
    </row>
    <row r="19" spans="2:11" ht="12.75" customHeight="1">
      <c r="B19" s="215" t="str">
        <f>CONCATENATE("                       ",Sheet1!C164)</f>
        <v>                       Sri R.Ramesh,Seconday Grade Teacher,MP.PS .Tekmal has retired from his Govt.service due to Superannuation.  he  has put in 58Years approved and Pensionable Sevice.  he has put 0 Days Half Pay Leaves Credit as on the date of his retirement. hewas encashed 300Days Earned Leaves and got the Consequent benefits as per rules</v>
      </c>
      <c r="C19" s="215"/>
      <c r="D19" s="215"/>
      <c r="E19" s="215"/>
      <c r="F19" s="215"/>
      <c r="G19" s="215"/>
      <c r="H19" s="215"/>
      <c r="I19" s="215"/>
      <c r="J19" s="215"/>
      <c r="K19" s="215"/>
    </row>
    <row r="20" spans="2:11" ht="12.75" customHeight="1">
      <c r="B20" s="215"/>
      <c r="C20" s="215"/>
      <c r="D20" s="215"/>
      <c r="E20" s="215"/>
      <c r="F20" s="215"/>
      <c r="G20" s="215"/>
      <c r="H20" s="215"/>
      <c r="I20" s="215"/>
      <c r="J20" s="215"/>
      <c r="K20" s="215"/>
    </row>
    <row r="21" spans="2:11" ht="12.75" customHeight="1">
      <c r="B21" s="215"/>
      <c r="C21" s="215"/>
      <c r="D21" s="215"/>
      <c r="E21" s="215"/>
      <c r="F21" s="215"/>
      <c r="G21" s="215"/>
      <c r="H21" s="215"/>
      <c r="I21" s="215"/>
      <c r="J21" s="215"/>
      <c r="K21" s="215"/>
    </row>
    <row r="22" spans="2:11" ht="18.75" customHeight="1">
      <c r="B22" s="215"/>
      <c r="C22" s="215"/>
      <c r="D22" s="215"/>
      <c r="E22" s="215"/>
      <c r="F22" s="215"/>
      <c r="G22" s="215"/>
      <c r="H22" s="215"/>
      <c r="I22" s="215"/>
      <c r="J22" s="215"/>
      <c r="K22" s="215"/>
    </row>
    <row r="23" spans="2:11" ht="12.75" customHeight="1">
      <c r="B23" s="215"/>
      <c r="C23" s="215"/>
      <c r="D23" s="215"/>
      <c r="E23" s="215"/>
      <c r="F23" s="215"/>
      <c r="G23" s="215"/>
      <c r="H23" s="215"/>
      <c r="I23" s="215"/>
      <c r="J23" s="215"/>
      <c r="K23" s="215"/>
    </row>
    <row r="24" spans="2:11" ht="12.75" customHeight="1">
      <c r="B24" s="215"/>
      <c r="C24" s="215"/>
      <c r="D24" s="215"/>
      <c r="E24" s="215"/>
      <c r="F24" s="215"/>
      <c r="G24" s="215"/>
      <c r="H24" s="215"/>
      <c r="I24" s="215"/>
      <c r="J24" s="215"/>
      <c r="K24" s="215"/>
    </row>
    <row r="25" spans="2:11" ht="12.75" customHeight="1">
      <c r="B25" s="215"/>
      <c r="C25" s="215"/>
      <c r="D25" s="215"/>
      <c r="E25" s="215"/>
      <c r="F25" s="215"/>
      <c r="G25" s="215"/>
      <c r="H25" s="215"/>
      <c r="I25" s="215"/>
      <c r="J25" s="215"/>
      <c r="K25" s="215"/>
    </row>
    <row r="26" spans="2:11" ht="12.75" customHeight="1">
      <c r="B26" s="215" t="str">
        <f>CONCATENATE("                    ",Sheet1!C172)</f>
        <v>                    Thus he  is eligible for the encashment of Half Pay Leave of 0 Days subject to the conditions that his total no of days of Earned Leave +  leave on Half pay Half Pay put together  shold not exceed 300 days. Hence The Mandal Educational Officer M.P.Tekmal is Pleased to sanction and calculated Half Pay Leaves as per formula given below</v>
      </c>
      <c r="C26" s="215"/>
      <c r="D26" s="215"/>
      <c r="E26" s="215"/>
      <c r="F26" s="215"/>
      <c r="G26" s="215"/>
      <c r="H26" s="215"/>
      <c r="I26" s="215"/>
      <c r="J26" s="215"/>
      <c r="K26" s="215"/>
    </row>
    <row r="27" spans="2:11" ht="12.75" customHeight="1">
      <c r="B27" s="215"/>
      <c r="C27" s="215"/>
      <c r="D27" s="215"/>
      <c r="E27" s="215"/>
      <c r="F27" s="215"/>
      <c r="G27" s="215"/>
      <c r="H27" s="215"/>
      <c r="I27" s="215"/>
      <c r="J27" s="215"/>
      <c r="K27" s="215"/>
    </row>
    <row r="28" spans="2:11" ht="12.75" customHeight="1">
      <c r="B28" s="215"/>
      <c r="C28" s="215"/>
      <c r="D28" s="215"/>
      <c r="E28" s="215"/>
      <c r="F28" s="215"/>
      <c r="G28" s="215"/>
      <c r="H28" s="215"/>
      <c r="I28" s="215"/>
      <c r="J28" s="215"/>
      <c r="K28" s="215"/>
    </row>
    <row r="29" spans="2:11" ht="18.75" customHeight="1">
      <c r="B29" s="215"/>
      <c r="C29" s="215"/>
      <c r="D29" s="215"/>
      <c r="E29" s="215"/>
      <c r="F29" s="215"/>
      <c r="G29" s="215"/>
      <c r="H29" s="215"/>
      <c r="I29" s="215"/>
      <c r="J29" s="215"/>
      <c r="K29" s="215"/>
    </row>
    <row r="30" spans="2:11" ht="12.75" customHeight="1">
      <c r="B30" s="215"/>
      <c r="C30" s="215"/>
      <c r="D30" s="215"/>
      <c r="E30" s="215"/>
      <c r="F30" s="215"/>
      <c r="G30" s="215"/>
      <c r="H30" s="215"/>
      <c r="I30" s="215"/>
      <c r="J30" s="215"/>
      <c r="K30" s="215"/>
    </row>
    <row r="31" spans="2:11" ht="12.75" customHeight="1">
      <c r="B31" s="215"/>
      <c r="C31" s="215"/>
      <c r="D31" s="215"/>
      <c r="E31" s="215"/>
      <c r="F31" s="215"/>
      <c r="G31" s="215"/>
      <c r="H31" s="215"/>
      <c r="I31" s="215"/>
      <c r="J31" s="215"/>
      <c r="K31" s="215"/>
    </row>
    <row r="32" spans="2:11" ht="23.25" customHeight="1">
      <c r="B32" s="215"/>
      <c r="C32" s="215"/>
      <c r="D32" s="215"/>
      <c r="E32" s="215"/>
      <c r="F32" s="215"/>
      <c r="G32" s="215"/>
      <c r="H32" s="215"/>
      <c r="I32" s="215"/>
      <c r="J32" s="215"/>
      <c r="K32" s="215"/>
    </row>
    <row r="33" spans="2:11" ht="3" customHeight="1">
      <c r="B33" s="215"/>
      <c r="C33" s="215"/>
      <c r="D33" s="215"/>
      <c r="E33" s="215"/>
      <c r="F33" s="215"/>
      <c r="G33" s="215"/>
      <c r="H33" s="215"/>
      <c r="I33" s="215"/>
      <c r="J33" s="215"/>
      <c r="K33" s="215"/>
    </row>
    <row r="34" spans="2:11" ht="12.75" customHeight="1" hidden="1">
      <c r="B34" s="215"/>
      <c r="C34" s="215"/>
      <c r="D34" s="215"/>
      <c r="E34" s="215"/>
      <c r="F34" s="215"/>
      <c r="G34" s="215"/>
      <c r="H34" s="215"/>
      <c r="I34" s="215"/>
      <c r="J34" s="215"/>
      <c r="K34" s="215"/>
    </row>
    <row r="35" spans="2:11" ht="12.75" customHeight="1" hidden="1">
      <c r="B35" s="215"/>
      <c r="C35" s="215"/>
      <c r="D35" s="215"/>
      <c r="E35" s="215"/>
      <c r="F35" s="215"/>
      <c r="G35" s="215"/>
      <c r="H35" s="215"/>
      <c r="I35" s="215"/>
      <c r="J35" s="215"/>
      <c r="K35" s="215"/>
    </row>
    <row r="36" spans="2:10" ht="19.5" thickBot="1">
      <c r="B36" s="228" t="s">
        <v>11</v>
      </c>
      <c r="C36" s="228"/>
      <c r="D36" s="228"/>
      <c r="E36" s="228"/>
      <c r="F36" s="228"/>
      <c r="G36" s="228"/>
      <c r="H36" s="228"/>
      <c r="I36" s="228"/>
      <c r="J36" s="228"/>
    </row>
    <row r="37" spans="2:11" ht="12.75">
      <c r="B37" s="229" t="s">
        <v>254</v>
      </c>
      <c r="C37" s="230"/>
      <c r="D37" s="235" t="s">
        <v>12</v>
      </c>
      <c r="E37" s="140"/>
      <c r="F37" s="140"/>
      <c r="G37" s="140"/>
      <c r="H37" s="238" t="s">
        <v>13</v>
      </c>
      <c r="I37" s="242" t="s">
        <v>332</v>
      </c>
      <c r="J37" s="242"/>
      <c r="K37" s="243"/>
    </row>
    <row r="38" spans="2:11" ht="12.75">
      <c r="B38" s="231"/>
      <c r="C38" s="232"/>
      <c r="D38" s="236"/>
      <c r="E38" s="248" t="s">
        <v>330</v>
      </c>
      <c r="F38" s="248"/>
      <c r="G38" s="248"/>
      <c r="H38" s="239"/>
      <c r="I38" s="244"/>
      <c r="J38" s="244"/>
      <c r="K38" s="245"/>
    </row>
    <row r="39" spans="2:11" ht="12.75">
      <c r="B39" s="231"/>
      <c r="C39" s="232"/>
      <c r="D39" s="236"/>
      <c r="E39" s="248"/>
      <c r="F39" s="248"/>
      <c r="G39" s="248"/>
      <c r="H39" s="239"/>
      <c r="I39" s="244"/>
      <c r="J39" s="244"/>
      <c r="K39" s="245"/>
    </row>
    <row r="40" spans="2:11" ht="12.75">
      <c r="B40" s="231"/>
      <c r="C40" s="232"/>
      <c r="D40" s="236"/>
      <c r="E40" s="248"/>
      <c r="F40" s="248"/>
      <c r="G40" s="248"/>
      <c r="H40" s="239"/>
      <c r="I40" s="244"/>
      <c r="J40" s="244"/>
      <c r="K40" s="245"/>
    </row>
    <row r="41" spans="2:11" ht="39" customHeight="1" thickBot="1">
      <c r="B41" s="233"/>
      <c r="C41" s="234"/>
      <c r="D41" s="237"/>
      <c r="E41" s="249"/>
      <c r="F41" s="249"/>
      <c r="G41" s="249"/>
      <c r="H41" s="240"/>
      <c r="I41" s="246"/>
      <c r="J41" s="246"/>
      <c r="K41" s="247"/>
    </row>
    <row r="42" spans="2:11" ht="36.75" customHeight="1">
      <c r="B42" s="123"/>
      <c r="C42" s="123"/>
      <c r="D42" s="80"/>
      <c r="E42" s="120"/>
      <c r="F42" s="120"/>
      <c r="G42" s="120"/>
      <c r="H42" s="121"/>
      <c r="I42" s="130"/>
      <c r="J42" s="130"/>
      <c r="K42" s="130"/>
    </row>
    <row r="43" spans="2:11" ht="18.75" customHeight="1">
      <c r="B43" s="215" t="str">
        <f>CONCATENATE("                 ",Sheet1!C189)</f>
        <v>                 he  drawing the Basic Pay of Rs.21250 in the Scale of  14860-39540 at the time of retirement D.A admissible is 29.96%.Hence the HPL encashment amount of Rs.0.00 Only may be drawn and paid to the incumbent.</v>
      </c>
      <c r="C43" s="215"/>
      <c r="D43" s="215"/>
      <c r="E43" s="215"/>
      <c r="F43" s="215"/>
      <c r="G43" s="215"/>
      <c r="H43" s="215"/>
      <c r="I43" s="215"/>
      <c r="J43" s="215"/>
      <c r="K43" s="215"/>
    </row>
    <row r="44" spans="2:11" ht="18.75" customHeight="1">
      <c r="B44" s="215"/>
      <c r="C44" s="215"/>
      <c r="D44" s="215"/>
      <c r="E44" s="215"/>
      <c r="F44" s="215"/>
      <c r="G44" s="215"/>
      <c r="H44" s="215"/>
      <c r="I44" s="215"/>
      <c r="J44" s="215"/>
      <c r="K44" s="215"/>
    </row>
    <row r="45" spans="2:11" ht="18.75" customHeight="1">
      <c r="B45" s="215"/>
      <c r="C45" s="215"/>
      <c r="D45" s="215"/>
      <c r="E45" s="215"/>
      <c r="F45" s="215"/>
      <c r="G45" s="215"/>
      <c r="H45" s="215"/>
      <c r="I45" s="215"/>
      <c r="J45" s="215"/>
      <c r="K45" s="215"/>
    </row>
    <row r="46" spans="2:11" ht="18.75" customHeight="1">
      <c r="B46" s="215"/>
      <c r="C46" s="215"/>
      <c r="D46" s="215"/>
      <c r="E46" s="215"/>
      <c r="F46" s="215"/>
      <c r="G46" s="215"/>
      <c r="H46" s="215"/>
      <c r="I46" s="215"/>
      <c r="J46" s="215"/>
      <c r="K46" s="215"/>
    </row>
    <row r="47" spans="2:11" ht="5.25" customHeight="1">
      <c r="B47" s="215"/>
      <c r="C47" s="215"/>
      <c r="D47" s="215"/>
      <c r="E47" s="215"/>
      <c r="F47" s="215"/>
      <c r="G47" s="215"/>
      <c r="H47" s="215"/>
      <c r="I47" s="215"/>
      <c r="J47" s="215"/>
      <c r="K47" s="215"/>
    </row>
    <row r="48" spans="2:11" ht="18.75" customHeight="1" hidden="1">
      <c r="B48" s="215"/>
      <c r="C48" s="215"/>
      <c r="D48" s="215"/>
      <c r="E48" s="215"/>
      <c r="F48" s="215"/>
      <c r="G48" s="215"/>
      <c r="H48" s="215"/>
      <c r="I48" s="215"/>
      <c r="J48" s="215"/>
      <c r="K48" s="215"/>
    </row>
    <row r="50" spans="2:11" ht="12.75" customHeight="1">
      <c r="B50" s="215" t="str">
        <f>CONCATENATE("               ","The Individual is informed that if any excess payments are noticed at a latter date in audit due to erroneous fixation of Pay,such excess amount shall be reocovered from ",Sheet1!O113," in lumpsum with out any further notice.")</f>
        <v>               The Individual is informed that if any excess payments are noticed at a latter date in audit due to erroneous fixation of Pay,such excess amount shall be reocovered from him in lumpsum with out any further notice.</v>
      </c>
      <c r="C50" s="215"/>
      <c r="D50" s="215"/>
      <c r="E50" s="215"/>
      <c r="F50" s="215"/>
      <c r="G50" s="215"/>
      <c r="H50" s="215"/>
      <c r="I50" s="215"/>
      <c r="J50" s="215"/>
      <c r="K50" s="215"/>
    </row>
    <row r="51" spans="2:11" ht="18.75" customHeight="1">
      <c r="B51" s="215"/>
      <c r="C51" s="215"/>
      <c r="D51" s="215"/>
      <c r="E51" s="215"/>
      <c r="F51" s="215"/>
      <c r="G51" s="215"/>
      <c r="H51" s="215"/>
      <c r="I51" s="215"/>
      <c r="J51" s="215"/>
      <c r="K51" s="215"/>
    </row>
    <row r="52" spans="2:11" ht="12.75" customHeight="1">
      <c r="B52" s="215"/>
      <c r="C52" s="215"/>
      <c r="D52" s="215"/>
      <c r="E52" s="215"/>
      <c r="F52" s="215"/>
      <c r="G52" s="215"/>
      <c r="H52" s="215"/>
      <c r="I52" s="215"/>
      <c r="J52" s="215"/>
      <c r="K52" s="215"/>
    </row>
    <row r="53" spans="2:11" ht="12.75" customHeight="1">
      <c r="B53" s="215"/>
      <c r="C53" s="215"/>
      <c r="D53" s="215"/>
      <c r="E53" s="215"/>
      <c r="F53" s="215"/>
      <c r="G53" s="215"/>
      <c r="H53" s="215"/>
      <c r="I53" s="215"/>
      <c r="J53" s="215"/>
      <c r="K53" s="215"/>
    </row>
    <row r="54" spans="2:11" ht="12.75" customHeight="1">
      <c r="B54" s="215"/>
      <c r="C54" s="215"/>
      <c r="D54" s="215"/>
      <c r="E54" s="215"/>
      <c r="F54" s="215"/>
      <c r="G54" s="215"/>
      <c r="H54" s="215"/>
      <c r="I54" s="215"/>
      <c r="J54" s="215"/>
      <c r="K54" s="215"/>
    </row>
    <row r="55" spans="2:11" ht="12.75" customHeight="1">
      <c r="B55" s="215"/>
      <c r="C55" s="215"/>
      <c r="D55" s="215"/>
      <c r="E55" s="215"/>
      <c r="F55" s="215"/>
      <c r="G55" s="215"/>
      <c r="H55" s="215"/>
      <c r="I55" s="215"/>
      <c r="J55" s="215"/>
      <c r="K55" s="215"/>
    </row>
    <row r="56" spans="2:11" ht="12.75" customHeight="1">
      <c r="B56" s="215"/>
      <c r="C56" s="215"/>
      <c r="D56" s="215"/>
      <c r="E56" s="215"/>
      <c r="F56" s="215"/>
      <c r="G56" s="215"/>
      <c r="H56" s="215"/>
      <c r="I56" s="215"/>
      <c r="J56" s="215"/>
      <c r="K56" s="215"/>
    </row>
    <row r="57" spans="2:11" ht="12.75" customHeight="1">
      <c r="B57" s="215"/>
      <c r="C57" s="215"/>
      <c r="D57" s="215"/>
      <c r="E57" s="215"/>
      <c r="F57" s="215"/>
      <c r="G57" s="215"/>
      <c r="H57" s="215"/>
      <c r="I57" s="215"/>
      <c r="J57" s="215"/>
      <c r="K57" s="215"/>
    </row>
    <row r="58" spans="2:11" ht="12.75" customHeight="1">
      <c r="B58" s="106"/>
      <c r="C58" s="106"/>
      <c r="D58" s="106"/>
      <c r="E58" s="106"/>
      <c r="F58" s="106"/>
      <c r="G58" s="106"/>
      <c r="H58" s="106"/>
      <c r="I58" s="106"/>
      <c r="J58" s="106"/>
      <c r="K58" s="106"/>
    </row>
    <row r="59" spans="2:11" ht="12.75" customHeight="1">
      <c r="B59" s="106"/>
      <c r="C59" s="106"/>
      <c r="D59" s="106"/>
      <c r="E59" s="106"/>
      <c r="F59" s="106"/>
      <c r="G59" s="106"/>
      <c r="H59" s="241" t="str">
        <f>Sheet1!F84</f>
        <v>Mandal Educational Officer</v>
      </c>
      <c r="I59" s="241"/>
      <c r="J59" s="241"/>
      <c r="K59" s="241"/>
    </row>
    <row r="60" spans="2:11" ht="12.75" customHeight="1">
      <c r="B60" s="106"/>
      <c r="C60" s="106"/>
      <c r="D60" s="106"/>
      <c r="E60" s="106"/>
      <c r="F60" s="106"/>
      <c r="G60" s="106"/>
      <c r="H60" s="241" t="str">
        <f>Data!D14</f>
        <v>M.P.Tekmal</v>
      </c>
      <c r="I60" s="241"/>
      <c r="J60" s="241"/>
      <c r="K60" s="241"/>
    </row>
    <row r="61" spans="2:6" ht="18.75">
      <c r="B61" s="216" t="s">
        <v>333</v>
      </c>
      <c r="C61" s="216"/>
      <c r="D61" s="216"/>
      <c r="E61" s="216"/>
      <c r="F61" s="216"/>
    </row>
    <row r="62" spans="2:5" ht="18.75">
      <c r="B62" s="216" t="s">
        <v>334</v>
      </c>
      <c r="C62" s="216"/>
      <c r="D62" s="216"/>
      <c r="E62" s="216"/>
    </row>
    <row r="63" spans="2:5" ht="18.75">
      <c r="B63" s="227" t="str">
        <f>CONCATENATE("2. STO  ",Data!D19)</f>
        <v>2. STO  Jogipet</v>
      </c>
      <c r="C63" s="227"/>
      <c r="D63" s="227"/>
      <c r="E63" s="227"/>
    </row>
    <row r="67" ht="3.75" customHeight="1"/>
    <row r="68" spans="1:4" ht="12.75">
      <c r="A68" s="6" t="s">
        <v>331</v>
      </c>
      <c r="B68" s="6"/>
      <c r="C68" s="6"/>
      <c r="D68" s="6"/>
    </row>
    <row r="69" ht="3.75" customHeight="1"/>
  </sheetData>
  <sheetProtection password="92FA" sheet="1"/>
  <mergeCells count="21">
    <mergeCell ref="A16:K16"/>
    <mergeCell ref="B18:D18"/>
    <mergeCell ref="A1:K1"/>
    <mergeCell ref="A3:K3"/>
    <mergeCell ref="C5:E5"/>
    <mergeCell ref="D8:K13"/>
    <mergeCell ref="B19:K25"/>
    <mergeCell ref="B61:F61"/>
    <mergeCell ref="B26:K35"/>
    <mergeCell ref="H60:K60"/>
    <mergeCell ref="I37:K41"/>
    <mergeCell ref="E38:G41"/>
    <mergeCell ref="B62:E62"/>
    <mergeCell ref="B63:E63"/>
    <mergeCell ref="B36:J36"/>
    <mergeCell ref="B37:C41"/>
    <mergeCell ref="D37:D41"/>
    <mergeCell ref="H37:H41"/>
    <mergeCell ref="B43:K48"/>
    <mergeCell ref="B50:K57"/>
    <mergeCell ref="H59:K59"/>
  </mergeCells>
  <printOptions/>
  <pageMargins left="0.75" right="0.25" top="0.2" bottom="0.52" header="0.07" footer="0.5"/>
  <pageSetup horizontalDpi="300" verticalDpi="300" orientation="portrait" paperSize="5" r:id="rId1"/>
</worksheet>
</file>

<file path=xl/worksheets/sheet5.xml><?xml version="1.0" encoding="utf-8"?>
<worksheet xmlns="http://schemas.openxmlformats.org/spreadsheetml/2006/main" xmlns:r="http://schemas.openxmlformats.org/officeDocument/2006/relationships">
  <dimension ref="A1:AK60"/>
  <sheetViews>
    <sheetView showGridLines="0" view="pageBreakPreview" zoomScaleSheetLayoutView="100" zoomScalePageLayoutView="0" workbookViewId="0" topLeftCell="D1">
      <selection activeCell="L44" sqref="L44"/>
    </sheetView>
  </sheetViews>
  <sheetFormatPr defaultColWidth="8.00390625" defaultRowHeight="12.75"/>
  <cols>
    <col min="1" max="1" width="1.1484375" style="8" customWidth="1"/>
    <col min="2" max="2" width="8.7109375" style="8" customWidth="1"/>
    <col min="3" max="3" width="12.57421875" style="8" customWidth="1"/>
    <col min="4" max="4" width="4.421875" style="8" customWidth="1"/>
    <col min="5" max="5" width="5.00390625" style="8" customWidth="1"/>
    <col min="6" max="6" width="4.7109375" style="8" customWidth="1"/>
    <col min="7" max="7" width="4.57421875" style="8" customWidth="1"/>
    <col min="8" max="8" width="3.8515625" style="8" customWidth="1"/>
    <col min="9" max="9" width="9.7109375" style="8" customWidth="1"/>
    <col min="10" max="10" width="3.8515625" style="8" customWidth="1"/>
    <col min="11" max="11" width="2.00390625" style="8" customWidth="1"/>
    <col min="12" max="12" width="3.28125" style="8" customWidth="1"/>
    <col min="13" max="13" width="2.28125" style="8" hidden="1" customWidth="1"/>
    <col min="14" max="14" width="5.8515625" style="8" customWidth="1"/>
    <col min="15" max="15" width="2.00390625" style="8" hidden="1" customWidth="1"/>
    <col min="16" max="16" width="18.7109375" style="8" customWidth="1"/>
    <col min="17" max="17" width="7.140625" style="8" customWidth="1"/>
    <col min="18" max="18" width="1.28515625" style="8" customWidth="1"/>
    <col min="19" max="19" width="3.28125" style="8" customWidth="1"/>
    <col min="20" max="20" width="10.421875" style="8" customWidth="1"/>
    <col min="21" max="21" width="3.7109375" style="8" customWidth="1"/>
    <col min="22" max="22" width="3.57421875" style="8" customWidth="1"/>
    <col min="23" max="23" width="4.00390625" style="8" customWidth="1"/>
    <col min="24" max="24" width="3.7109375" style="8" customWidth="1"/>
    <col min="25" max="25" width="3.57421875" style="8" customWidth="1"/>
    <col min="26" max="26" width="3.28125" style="8" customWidth="1"/>
    <col min="27" max="28" width="3.7109375" style="8" customWidth="1"/>
    <col min="29" max="29" width="3.28125" style="8" customWidth="1"/>
    <col min="30" max="30" width="4.8515625" style="8" customWidth="1"/>
    <col min="31" max="31" width="3.8515625" style="8" customWidth="1"/>
    <col min="32" max="32" width="0.9921875" style="8" customWidth="1"/>
    <col min="33" max="33" width="3.421875" style="8" customWidth="1"/>
    <col min="34" max="34" width="17.57421875" style="8" customWidth="1"/>
    <col min="35" max="35" width="3.8515625" style="8" customWidth="1"/>
    <col min="36" max="36" width="2.7109375" style="8" customWidth="1"/>
    <col min="37" max="37" width="11.421875" style="8" customWidth="1"/>
    <col min="38" max="38" width="0.9921875" style="8" customWidth="1"/>
    <col min="39" max="16384" width="8.00390625" style="8" customWidth="1"/>
  </cols>
  <sheetData>
    <row r="1" spans="20:37" ht="16.5">
      <c r="T1" s="296" t="str">
        <f>CONCATENATE("PAYBLE AT  STO"," ",Data!D19)</f>
        <v>PAYBLE AT  STO Jogipet</v>
      </c>
      <c r="U1" s="296"/>
      <c r="V1" s="296"/>
      <c r="W1" s="296"/>
      <c r="X1" s="296"/>
      <c r="Y1" s="296"/>
      <c r="Z1" s="296"/>
      <c r="AA1" s="296"/>
      <c r="AB1" s="296"/>
      <c r="AC1" s="296"/>
      <c r="AD1" s="296"/>
      <c r="AE1" s="296"/>
      <c r="AF1" s="296"/>
      <c r="AG1" s="296"/>
      <c r="AH1" s="296"/>
      <c r="AI1" s="296"/>
      <c r="AJ1" s="296"/>
      <c r="AK1" s="296"/>
    </row>
    <row r="2" spans="1:37" ht="13.5" customHeight="1">
      <c r="A2" s="266"/>
      <c r="B2" s="266"/>
      <c r="C2" s="266"/>
      <c r="D2" s="266"/>
      <c r="E2" s="266"/>
      <c r="F2" s="266"/>
      <c r="G2" s="266"/>
      <c r="H2" s="266"/>
      <c r="I2" s="266"/>
      <c r="J2" s="266"/>
      <c r="K2" s="266"/>
      <c r="L2" s="266"/>
      <c r="M2" s="266"/>
      <c r="N2" s="266"/>
      <c r="O2" s="266"/>
      <c r="P2" s="266"/>
      <c r="Q2" s="266"/>
      <c r="R2" s="7"/>
      <c r="S2" s="7"/>
      <c r="T2" s="269" t="str">
        <f>CONCATENATE("Encashment of Earned Leave and HPL Salary of ",Sheet1!L113,Data!E4,Sheet1!E56,Sheet1!F91)</f>
        <v>Encashment of Earned Leave and HPL Salary of SriR.RameshSeconday Grade TeacherMP.PS .Tekmal</v>
      </c>
      <c r="U2" s="269"/>
      <c r="V2" s="269"/>
      <c r="W2" s="269"/>
      <c r="X2" s="269"/>
      <c r="Y2" s="269"/>
      <c r="Z2" s="269"/>
      <c r="AA2" s="269"/>
      <c r="AB2" s="269"/>
      <c r="AC2" s="269"/>
      <c r="AD2" s="269"/>
      <c r="AE2" s="269"/>
      <c r="AF2" s="269"/>
      <c r="AG2" s="269"/>
      <c r="AH2" s="269"/>
      <c r="AI2" s="269"/>
      <c r="AJ2" s="269"/>
      <c r="AK2" s="269"/>
    </row>
    <row r="3" spans="1:37" ht="18" customHeight="1">
      <c r="A3" s="9" t="s">
        <v>250</v>
      </c>
      <c r="B3" s="9"/>
      <c r="C3" s="9"/>
      <c r="I3" s="267"/>
      <c r="J3" s="267"/>
      <c r="K3" s="267"/>
      <c r="L3" s="267"/>
      <c r="M3" s="267"/>
      <c r="N3" s="267"/>
      <c r="T3" s="269"/>
      <c r="U3" s="269"/>
      <c r="V3" s="269"/>
      <c r="W3" s="269"/>
      <c r="X3" s="269"/>
      <c r="Y3" s="269"/>
      <c r="Z3" s="269"/>
      <c r="AA3" s="269"/>
      <c r="AB3" s="269"/>
      <c r="AC3" s="269"/>
      <c r="AD3" s="269"/>
      <c r="AE3" s="269"/>
      <c r="AF3" s="269"/>
      <c r="AG3" s="269"/>
      <c r="AH3" s="269"/>
      <c r="AI3" s="269"/>
      <c r="AJ3" s="269"/>
      <c r="AK3" s="269"/>
    </row>
    <row r="4" spans="1:37" ht="15" customHeight="1">
      <c r="A4" s="9" t="s">
        <v>17</v>
      </c>
      <c r="B4" s="9"/>
      <c r="C4" s="9"/>
      <c r="I4" s="267" t="str">
        <f>'47 In'!J30</f>
        <v>320020.00</v>
      </c>
      <c r="J4" s="267"/>
      <c r="K4" s="267"/>
      <c r="L4" s="267"/>
      <c r="M4" s="267"/>
      <c r="N4" s="267"/>
      <c r="T4" s="268" t="s">
        <v>18</v>
      </c>
      <c r="U4" s="268"/>
      <c r="V4" s="268"/>
      <c r="W4" s="268"/>
      <c r="X4" s="268"/>
      <c r="Y4" s="268"/>
      <c r="Z4" s="268"/>
      <c r="AA4" s="268"/>
      <c r="AB4" s="268"/>
      <c r="AC4" s="268"/>
      <c r="AD4" s="268"/>
      <c r="AE4" s="268"/>
      <c r="AF4" s="268"/>
      <c r="AG4" s="268"/>
      <c r="AH4" s="268"/>
      <c r="AI4" s="268"/>
      <c r="AJ4" s="268"/>
      <c r="AK4" s="268"/>
    </row>
    <row r="5" spans="1:37" ht="13.5" customHeight="1" thickBot="1">
      <c r="A5" s="9" t="s">
        <v>19</v>
      </c>
      <c r="B5" s="9"/>
      <c r="C5" s="9"/>
      <c r="I5" s="270"/>
      <c r="J5" s="270"/>
      <c r="K5" s="270"/>
      <c r="L5" s="270"/>
      <c r="M5" s="270"/>
      <c r="N5" s="270"/>
      <c r="T5" s="271" t="s">
        <v>20</v>
      </c>
      <c r="U5" s="271"/>
      <c r="V5" s="271"/>
      <c r="W5" s="271"/>
      <c r="X5" s="271"/>
      <c r="Y5" s="271"/>
      <c r="Z5" s="271"/>
      <c r="AA5" s="271"/>
      <c r="AB5" s="271"/>
      <c r="AC5" s="271"/>
      <c r="AD5" s="271"/>
      <c r="AE5" s="271"/>
      <c r="AF5" s="271"/>
      <c r="AG5" s="271"/>
      <c r="AH5" s="271"/>
      <c r="AI5" s="271"/>
      <c r="AJ5" s="271"/>
      <c r="AK5" s="271"/>
    </row>
    <row r="6" spans="1:37" ht="15" customHeight="1">
      <c r="A6" s="10"/>
      <c r="S6" s="292" t="str">
        <f>CONCATENATE("Under",words!B25)</f>
        <v>Under(Three Lakhs Twenty Thousand and Twenty one rupees only)</v>
      </c>
      <c r="T6" s="11" t="s">
        <v>21</v>
      </c>
      <c r="U6" s="12"/>
      <c r="V6" s="12"/>
      <c r="W6" s="12"/>
      <c r="X6" s="12"/>
      <c r="Y6" s="13"/>
      <c r="Z6" s="13"/>
      <c r="AA6" s="14"/>
      <c r="AB6" s="15">
        <v>0</v>
      </c>
      <c r="AC6" s="143">
        <v>7</v>
      </c>
      <c r="AD6" s="272">
        <v>2011</v>
      </c>
      <c r="AE6" s="273"/>
      <c r="AF6" s="16"/>
      <c r="AH6" s="17"/>
      <c r="AI6" s="18" t="s">
        <v>22</v>
      </c>
      <c r="AJ6" s="18"/>
      <c r="AK6" s="19"/>
    </row>
    <row r="7" spans="19:37" ht="19.5" customHeight="1">
      <c r="S7" s="292"/>
      <c r="T7" s="11" t="s">
        <v>23</v>
      </c>
      <c r="U7" s="12"/>
      <c r="V7" s="12"/>
      <c r="W7" s="12"/>
      <c r="X7" s="20"/>
      <c r="Y7" s="278"/>
      <c r="Z7" s="279"/>
      <c r="AA7" s="280"/>
      <c r="AH7" s="21" t="s">
        <v>24</v>
      </c>
      <c r="AI7" s="276" t="s">
        <v>25</v>
      </c>
      <c r="AJ7" s="276"/>
      <c r="AK7" s="277"/>
    </row>
    <row r="8" spans="19:37" ht="6" customHeight="1" thickBot="1">
      <c r="S8" s="292"/>
      <c r="X8" s="22"/>
      <c r="Y8" s="22"/>
      <c r="Z8" s="22"/>
      <c r="AA8" s="22"/>
      <c r="AB8" s="23"/>
      <c r="AH8" s="24"/>
      <c r="AI8" s="25"/>
      <c r="AJ8" s="25"/>
      <c r="AK8" s="26"/>
    </row>
    <row r="9" spans="1:37" ht="15.75">
      <c r="A9" s="27"/>
      <c r="B9" s="27"/>
      <c r="C9" s="27"/>
      <c r="D9" s="27"/>
      <c r="E9" s="27"/>
      <c r="F9" s="27"/>
      <c r="G9" s="27"/>
      <c r="H9" s="27"/>
      <c r="I9" s="27"/>
      <c r="J9" s="281" t="s">
        <v>26</v>
      </c>
      <c r="K9" s="281"/>
      <c r="L9" s="281"/>
      <c r="M9" s="281"/>
      <c r="N9" s="281"/>
      <c r="O9" s="281"/>
      <c r="P9" s="281"/>
      <c r="Q9" s="23"/>
      <c r="S9" s="292"/>
      <c r="T9" s="274" t="s">
        <v>27</v>
      </c>
      <c r="U9" s="275"/>
      <c r="V9" s="263">
        <f>Data!D17</f>
        <v>18022202149</v>
      </c>
      <c r="W9" s="264"/>
      <c r="X9" s="264"/>
      <c r="Y9" s="264"/>
      <c r="Z9" s="264"/>
      <c r="AA9" s="265"/>
      <c r="AH9" s="23"/>
      <c r="AI9" s="23" t="s">
        <v>28</v>
      </c>
      <c r="AJ9" s="23"/>
      <c r="AK9" s="23"/>
    </row>
    <row r="10" spans="19:37" ht="12" customHeight="1">
      <c r="S10" s="292"/>
      <c r="T10" s="314" t="s">
        <v>29</v>
      </c>
      <c r="U10" s="315"/>
      <c r="V10" s="300" t="str">
        <f>Data!D18</f>
        <v>MEO</v>
      </c>
      <c r="W10" s="301"/>
      <c r="X10" s="301"/>
      <c r="Y10" s="301"/>
      <c r="Z10" s="301"/>
      <c r="AA10" s="302"/>
      <c r="AB10" s="28"/>
      <c r="AC10" s="28"/>
      <c r="AD10" s="28"/>
      <c r="AE10" s="29"/>
      <c r="AF10" s="29"/>
      <c r="AG10" s="306" t="s">
        <v>30</v>
      </c>
      <c r="AH10" s="307"/>
      <c r="AI10" s="310" t="str">
        <f>CONCATENATE(Sheet1!F84,Data!D14)</f>
        <v>Mandal Educational OfficerM.P.Tekmal</v>
      </c>
      <c r="AJ10" s="310"/>
      <c r="AK10" s="311"/>
    </row>
    <row r="11" spans="1:37" ht="12" customHeight="1">
      <c r="A11" s="262" t="s">
        <v>31</v>
      </c>
      <c r="B11" s="262"/>
      <c r="C11" s="30" t="str">
        <f>I4</f>
        <v>320020.00</v>
      </c>
      <c r="D11" s="288" t="str">
        <f>words!B24</f>
        <v>(Three Lakhs Twenty Thousand and Twenty rupees only)</v>
      </c>
      <c r="E11" s="288"/>
      <c r="F11" s="288"/>
      <c r="G11" s="288"/>
      <c r="H11" s="288"/>
      <c r="I11" s="288"/>
      <c r="J11" s="288"/>
      <c r="K11" s="288"/>
      <c r="L11" s="288"/>
      <c r="M11" s="288"/>
      <c r="N11" s="288"/>
      <c r="O11" s="288"/>
      <c r="P11" s="288"/>
      <c r="Q11" s="31"/>
      <c r="R11" s="32"/>
      <c r="S11" s="292"/>
      <c r="T11" s="316"/>
      <c r="U11" s="317"/>
      <c r="V11" s="303"/>
      <c r="W11" s="304"/>
      <c r="X11" s="304"/>
      <c r="Y11" s="304"/>
      <c r="Z11" s="304"/>
      <c r="AA11" s="305"/>
      <c r="AB11" s="28"/>
      <c r="AC11" s="28"/>
      <c r="AD11" s="28"/>
      <c r="AE11" s="29"/>
      <c r="AF11" s="29"/>
      <c r="AG11" s="308"/>
      <c r="AH11" s="309"/>
      <c r="AI11" s="312"/>
      <c r="AJ11" s="312"/>
      <c r="AK11" s="313"/>
    </row>
    <row r="12" spans="4:37" ht="9" customHeight="1">
      <c r="D12" s="288"/>
      <c r="E12" s="288"/>
      <c r="F12" s="288"/>
      <c r="G12" s="288"/>
      <c r="H12" s="288"/>
      <c r="I12" s="288"/>
      <c r="J12" s="288"/>
      <c r="K12" s="288"/>
      <c r="L12" s="288"/>
      <c r="M12" s="288"/>
      <c r="N12" s="288"/>
      <c r="O12" s="288"/>
      <c r="P12" s="288"/>
      <c r="S12" s="292"/>
      <c r="T12" s="251" t="s">
        <v>32</v>
      </c>
      <c r="U12" s="252"/>
      <c r="V12" s="256">
        <v>97</v>
      </c>
      <c r="W12" s="257"/>
      <c r="X12" s="257"/>
      <c r="Y12" s="257"/>
      <c r="Z12" s="257"/>
      <c r="AA12" s="258"/>
      <c r="AG12" s="251" t="s">
        <v>33</v>
      </c>
      <c r="AH12" s="298"/>
      <c r="AI12" s="320"/>
      <c r="AJ12" s="310"/>
      <c r="AK12" s="311"/>
    </row>
    <row r="13" spans="4:37" ht="7.5" customHeight="1">
      <c r="D13" s="288"/>
      <c r="E13" s="288"/>
      <c r="F13" s="288"/>
      <c r="G13" s="288"/>
      <c r="H13" s="288"/>
      <c r="I13" s="288"/>
      <c r="J13" s="288"/>
      <c r="K13" s="288"/>
      <c r="L13" s="288"/>
      <c r="M13" s="288"/>
      <c r="N13" s="288"/>
      <c r="O13" s="288"/>
      <c r="P13" s="288"/>
      <c r="S13" s="292"/>
      <c r="T13" s="253"/>
      <c r="U13" s="254"/>
      <c r="V13" s="259"/>
      <c r="W13" s="260"/>
      <c r="X13" s="260"/>
      <c r="Y13" s="260"/>
      <c r="Z13" s="260"/>
      <c r="AA13" s="261"/>
      <c r="AG13" s="253"/>
      <c r="AH13" s="299"/>
      <c r="AI13" s="321"/>
      <c r="AJ13" s="312"/>
      <c r="AK13" s="313"/>
    </row>
    <row r="14" spans="19:37" ht="32.25" customHeight="1">
      <c r="S14" s="292"/>
      <c r="T14" s="27" t="s">
        <v>34</v>
      </c>
      <c r="U14" s="27"/>
      <c r="V14" s="27"/>
      <c r="W14" s="27"/>
      <c r="X14" s="27"/>
      <c r="Y14" s="27"/>
      <c r="Z14" s="27"/>
      <c r="AA14" s="27"/>
      <c r="AB14" s="27"/>
      <c r="AC14" s="27"/>
      <c r="AD14" s="27"/>
      <c r="AE14" s="27"/>
      <c r="AF14" s="27"/>
      <c r="AG14" s="27"/>
      <c r="AH14" s="27" t="s">
        <v>35</v>
      </c>
      <c r="AI14" s="27"/>
      <c r="AJ14" s="27"/>
      <c r="AK14" s="27"/>
    </row>
    <row r="15" spans="19:35" ht="20.25" customHeight="1">
      <c r="S15" s="292"/>
      <c r="T15" s="33" t="s">
        <v>36</v>
      </c>
      <c r="AG15" s="34" t="s">
        <v>37</v>
      </c>
      <c r="AH15" s="35"/>
      <c r="AI15" s="8" t="s">
        <v>38</v>
      </c>
    </row>
    <row r="16" spans="1:37" ht="20.25" customHeight="1">
      <c r="A16" s="36" t="s">
        <v>39</v>
      </c>
      <c r="S16" s="292"/>
      <c r="T16" s="8" t="s">
        <v>40</v>
      </c>
      <c r="U16" s="23"/>
      <c r="V16" s="37">
        <v>2</v>
      </c>
      <c r="W16" s="37">
        <v>2</v>
      </c>
      <c r="X16" s="37">
        <v>0</v>
      </c>
      <c r="Y16" s="37">
        <v>2</v>
      </c>
      <c r="AA16" s="38" t="s">
        <v>265</v>
      </c>
      <c r="AB16" s="27"/>
      <c r="AC16" s="27"/>
      <c r="AD16" s="27"/>
      <c r="AE16" s="27"/>
      <c r="AG16" s="39">
        <v>1</v>
      </c>
      <c r="AH16" s="23" t="s">
        <v>41</v>
      </c>
      <c r="AI16" s="8" t="s">
        <v>42</v>
      </c>
      <c r="AJ16" s="27"/>
      <c r="AK16" s="40"/>
    </row>
    <row r="17" spans="19:37" ht="18.75" customHeight="1">
      <c r="S17" s="292"/>
      <c r="V17" s="23"/>
      <c r="W17" s="23"/>
      <c r="AG17" s="39">
        <v>2</v>
      </c>
      <c r="AH17" s="23"/>
      <c r="AI17" s="8" t="s">
        <v>42</v>
      </c>
      <c r="AJ17" s="41"/>
      <c r="AK17" s="40"/>
    </row>
    <row r="18" spans="19:37" ht="15">
      <c r="S18" s="292"/>
      <c r="T18" s="8" t="s">
        <v>43</v>
      </c>
      <c r="V18" s="37">
        <v>0</v>
      </c>
      <c r="W18" s="42">
        <v>1</v>
      </c>
      <c r="Z18" s="43"/>
      <c r="AA18" s="38"/>
      <c r="AB18" s="27" t="str">
        <f>Sheet1!F101</f>
        <v>Ele.Edn</v>
      </c>
      <c r="AC18" s="27"/>
      <c r="AD18" s="27"/>
      <c r="AG18" s="39">
        <v>3</v>
      </c>
      <c r="AH18" s="23" t="s">
        <v>44</v>
      </c>
      <c r="AI18" s="8" t="s">
        <v>42</v>
      </c>
      <c r="AJ18" s="41"/>
      <c r="AK18" s="44"/>
    </row>
    <row r="19" spans="9:37" ht="13.5" customHeight="1">
      <c r="I19" s="45" t="s">
        <v>45</v>
      </c>
      <c r="J19" s="250" t="s">
        <v>26</v>
      </c>
      <c r="K19" s="250"/>
      <c r="L19" s="250"/>
      <c r="M19" s="250"/>
      <c r="N19" s="250"/>
      <c r="O19" s="250"/>
      <c r="P19" s="250"/>
      <c r="S19" s="292"/>
      <c r="AG19" s="39">
        <v>4</v>
      </c>
      <c r="AH19" s="23" t="s">
        <v>46</v>
      </c>
      <c r="AI19" s="8" t="s">
        <v>42</v>
      </c>
      <c r="AJ19" s="41"/>
      <c r="AK19" s="46"/>
    </row>
    <row r="20" spans="19:37" ht="15.75" customHeight="1">
      <c r="S20" s="292"/>
      <c r="T20" s="8" t="s">
        <v>47</v>
      </c>
      <c r="V20" s="47">
        <v>1</v>
      </c>
      <c r="W20" s="47">
        <v>0</v>
      </c>
      <c r="X20" s="47">
        <v>3</v>
      </c>
      <c r="Z20" s="326" t="str">
        <f>Sheet1!F103</f>
        <v>Assistance to Local Bodies fro Primary Eucation</v>
      </c>
      <c r="AA20" s="326"/>
      <c r="AB20" s="326"/>
      <c r="AC20" s="326"/>
      <c r="AD20" s="326"/>
      <c r="AE20" s="326"/>
      <c r="AG20" s="39">
        <v>5</v>
      </c>
      <c r="AH20" s="23" t="s">
        <v>48</v>
      </c>
      <c r="AI20" s="8" t="s">
        <v>42</v>
      </c>
      <c r="AJ20" s="41"/>
      <c r="AK20" s="44"/>
    </row>
    <row r="21" spans="1:37" ht="10.5" customHeight="1">
      <c r="A21" s="8" t="s">
        <v>49</v>
      </c>
      <c r="K21" s="27"/>
      <c r="L21" s="27"/>
      <c r="M21" s="27"/>
      <c r="N21" s="27"/>
      <c r="O21" s="27"/>
      <c r="P21" s="27"/>
      <c r="Q21" s="23"/>
      <c r="S21" s="292"/>
      <c r="Z21" s="327"/>
      <c r="AA21" s="327"/>
      <c r="AB21" s="327"/>
      <c r="AC21" s="327"/>
      <c r="AD21" s="327"/>
      <c r="AE21" s="327"/>
      <c r="AG21" s="39">
        <v>6</v>
      </c>
      <c r="AH21" s="23" t="s">
        <v>50</v>
      </c>
      <c r="AI21" s="8" t="s">
        <v>42</v>
      </c>
      <c r="AJ21" s="41"/>
      <c r="AK21" s="46"/>
    </row>
    <row r="22" spans="4:37" ht="15">
      <c r="D22" s="48" t="s">
        <v>51</v>
      </c>
      <c r="E22" s="48"/>
      <c r="F22" s="48"/>
      <c r="H22" s="49"/>
      <c r="S22" s="292"/>
      <c r="T22" s="255" t="s">
        <v>52</v>
      </c>
      <c r="U22" s="255"/>
      <c r="W22" s="37" t="s">
        <v>280</v>
      </c>
      <c r="X22" s="37" t="s">
        <v>280</v>
      </c>
      <c r="Z22" s="23"/>
      <c r="AA22" s="23"/>
      <c r="AB22" s="23"/>
      <c r="AC22" s="23"/>
      <c r="AD22" s="23"/>
      <c r="AE22" s="23"/>
      <c r="AG22" s="39">
        <v>7</v>
      </c>
      <c r="AH22" s="23" t="s">
        <v>53</v>
      </c>
      <c r="AI22" s="8" t="s">
        <v>42</v>
      </c>
      <c r="AJ22" s="41"/>
      <c r="AK22" s="44"/>
    </row>
    <row r="23" spans="19:37" ht="13.5" customHeight="1">
      <c r="S23" s="292"/>
      <c r="Z23" s="324" t="str">
        <f>Sheet1!F106</f>
        <v>Teaching Grants to MPP,s</v>
      </c>
      <c r="AA23" s="324"/>
      <c r="AB23" s="324"/>
      <c r="AC23" s="324"/>
      <c r="AD23" s="324"/>
      <c r="AE23" s="324"/>
      <c r="AG23" s="39">
        <v>8</v>
      </c>
      <c r="AH23" s="23" t="s">
        <v>54</v>
      </c>
      <c r="AI23" s="8" t="s">
        <v>42</v>
      </c>
      <c r="AK23" s="46"/>
    </row>
    <row r="24" spans="2:37" ht="15">
      <c r="B24" s="51" t="s">
        <v>251</v>
      </c>
      <c r="C24" s="51"/>
      <c r="D24" s="51"/>
      <c r="E24" s="51"/>
      <c r="F24" s="51"/>
      <c r="G24" s="51"/>
      <c r="H24" s="51"/>
      <c r="I24" s="52"/>
      <c r="J24" s="52"/>
      <c r="S24" s="292"/>
      <c r="T24" s="8" t="s">
        <v>55</v>
      </c>
      <c r="W24" s="37">
        <v>0</v>
      </c>
      <c r="X24" s="37">
        <v>5</v>
      </c>
      <c r="Z24" s="324"/>
      <c r="AA24" s="324"/>
      <c r="AB24" s="324"/>
      <c r="AC24" s="324"/>
      <c r="AD24" s="324"/>
      <c r="AE24" s="324"/>
      <c r="AG24" s="39">
        <v>9</v>
      </c>
      <c r="AH24" s="23" t="s">
        <v>56</v>
      </c>
      <c r="AI24" s="8" t="s">
        <v>42</v>
      </c>
      <c r="AJ24" s="27"/>
      <c r="AK24" s="46"/>
    </row>
    <row r="25" spans="2:37" ht="12.75" customHeight="1">
      <c r="B25" s="51" t="s">
        <v>252</v>
      </c>
      <c r="C25" s="51"/>
      <c r="D25" s="51"/>
      <c r="E25" s="51"/>
      <c r="F25" s="51"/>
      <c r="G25" s="51"/>
      <c r="H25" s="51"/>
      <c r="I25" s="52"/>
      <c r="J25" s="52"/>
      <c r="S25" s="292"/>
      <c r="Z25" s="53"/>
      <c r="AA25" s="53"/>
      <c r="AB25" s="53"/>
      <c r="AC25" s="53"/>
      <c r="AD25" s="53"/>
      <c r="AE25" s="53"/>
      <c r="AG25" s="39">
        <v>10</v>
      </c>
      <c r="AH25" s="23" t="s">
        <v>57</v>
      </c>
      <c r="AI25" s="8" t="s">
        <v>42</v>
      </c>
      <c r="AJ25" s="41"/>
      <c r="AK25" s="44"/>
    </row>
    <row r="26" spans="2:37" ht="15">
      <c r="B26" s="8" t="s">
        <v>253</v>
      </c>
      <c r="R26" s="7"/>
      <c r="S26" s="292"/>
      <c r="T26" s="255" t="s">
        <v>58</v>
      </c>
      <c r="U26" s="255"/>
      <c r="V26" s="54">
        <v>0</v>
      </c>
      <c r="W26" s="54">
        <v>1</v>
      </c>
      <c r="X26" s="54">
        <v>0</v>
      </c>
      <c r="Z26" s="43" t="s">
        <v>59</v>
      </c>
      <c r="AG26" s="39">
        <v>11</v>
      </c>
      <c r="AH26" s="23" t="s">
        <v>60</v>
      </c>
      <c r="AI26" s="8" t="s">
        <v>42</v>
      </c>
      <c r="AJ26" s="41"/>
      <c r="AK26" s="46"/>
    </row>
    <row r="27" spans="18:37" ht="15">
      <c r="R27" s="32"/>
      <c r="S27" s="292"/>
      <c r="T27" s="55" t="s">
        <v>61</v>
      </c>
      <c r="U27" s="55"/>
      <c r="V27" s="55"/>
      <c r="W27" s="55"/>
      <c r="X27" s="55"/>
      <c r="Y27" s="55"/>
      <c r="Z27" s="325"/>
      <c r="AA27" s="325"/>
      <c r="AB27" s="325"/>
      <c r="AC27" s="325"/>
      <c r="AD27" s="325"/>
      <c r="AE27" s="325"/>
      <c r="AG27" s="39">
        <v>12</v>
      </c>
      <c r="AH27" s="23" t="s">
        <v>62</v>
      </c>
      <c r="AI27" s="8" t="s">
        <v>42</v>
      </c>
      <c r="AJ27" s="41"/>
      <c r="AK27" s="44"/>
    </row>
    <row r="28" spans="19:37" ht="10.5" customHeight="1">
      <c r="S28" s="292"/>
      <c r="AG28" s="39">
        <v>13</v>
      </c>
      <c r="AH28" s="57" t="s">
        <v>63</v>
      </c>
      <c r="AI28" s="8" t="s">
        <v>42</v>
      </c>
      <c r="AJ28" s="41"/>
      <c r="AK28" s="46"/>
    </row>
    <row r="29" spans="19:37" ht="21" customHeight="1">
      <c r="S29" s="292"/>
      <c r="T29" s="255" t="s">
        <v>64</v>
      </c>
      <c r="U29" s="255"/>
      <c r="V29" s="255"/>
      <c r="W29" s="37" t="s">
        <v>65</v>
      </c>
      <c r="X29" s="23"/>
      <c r="Y29" s="8" t="s">
        <v>66</v>
      </c>
      <c r="AD29" s="58" t="s">
        <v>67</v>
      </c>
      <c r="AE29" s="59"/>
      <c r="AG29" s="39">
        <v>14</v>
      </c>
      <c r="AH29" s="57" t="s">
        <v>68</v>
      </c>
      <c r="AI29" s="8" t="s">
        <v>42</v>
      </c>
      <c r="AJ29" s="41"/>
      <c r="AK29" s="44"/>
    </row>
    <row r="30" spans="19:37" ht="9" customHeight="1">
      <c r="S30" s="292"/>
      <c r="AG30" s="39">
        <v>15</v>
      </c>
      <c r="AH30" s="57" t="s">
        <v>69</v>
      </c>
      <c r="AI30" s="8" t="s">
        <v>42</v>
      </c>
      <c r="AJ30" s="41"/>
      <c r="AK30" s="46"/>
    </row>
    <row r="31" spans="19:37" ht="12.75" customHeight="1">
      <c r="S31" s="292"/>
      <c r="T31" s="255" t="s">
        <v>70</v>
      </c>
      <c r="U31" s="255"/>
      <c r="V31" s="255"/>
      <c r="W31" s="255"/>
      <c r="AG31" s="39">
        <v>16</v>
      </c>
      <c r="AH31" s="57" t="s">
        <v>71</v>
      </c>
      <c r="AI31" s="8" t="s">
        <v>42</v>
      </c>
      <c r="AJ31" s="41"/>
      <c r="AK31" s="44"/>
    </row>
    <row r="32" spans="19:37" ht="12.75" customHeight="1">
      <c r="S32" s="292"/>
      <c r="T32" s="297" t="s">
        <v>72</v>
      </c>
      <c r="U32" s="297"/>
      <c r="V32" s="297"/>
      <c r="W32" s="37">
        <v>2</v>
      </c>
      <c r="X32" s="37">
        <v>2</v>
      </c>
      <c r="Y32" s="37">
        <v>0</v>
      </c>
      <c r="Z32" s="37">
        <v>2</v>
      </c>
      <c r="AA32" s="27"/>
      <c r="AB32" s="27"/>
      <c r="AC32" s="27"/>
      <c r="AD32" s="27"/>
      <c r="AE32" s="27"/>
      <c r="AG32" s="39">
        <v>17</v>
      </c>
      <c r="AH32" s="57" t="s">
        <v>73</v>
      </c>
      <c r="AI32" s="8" t="s">
        <v>42</v>
      </c>
      <c r="AJ32" s="41"/>
      <c r="AK32" s="46"/>
    </row>
    <row r="33" spans="19:37" ht="5.25" customHeight="1">
      <c r="S33" s="292"/>
      <c r="AG33" s="39">
        <v>18</v>
      </c>
      <c r="AH33" s="23" t="s">
        <v>74</v>
      </c>
      <c r="AI33" s="8" t="s">
        <v>42</v>
      </c>
      <c r="AJ33" s="41"/>
      <c r="AK33" s="44"/>
    </row>
    <row r="34" spans="10:37" ht="14.25" customHeight="1">
      <c r="J34" s="293" t="s">
        <v>45</v>
      </c>
      <c r="K34" s="293"/>
      <c r="L34" s="293"/>
      <c r="M34" s="293"/>
      <c r="N34" s="293"/>
      <c r="O34" s="293"/>
      <c r="P34" s="293"/>
      <c r="S34" s="292"/>
      <c r="T34" s="8" t="s">
        <v>75</v>
      </c>
      <c r="Y34" s="8" t="s">
        <v>76</v>
      </c>
      <c r="Z34" s="286"/>
      <c r="AA34" s="286"/>
      <c r="AB34" s="286"/>
      <c r="AC34" s="286"/>
      <c r="AD34" s="60"/>
      <c r="AG34" s="39">
        <v>19</v>
      </c>
      <c r="AH34" s="23" t="s">
        <v>77</v>
      </c>
      <c r="AI34" s="8" t="s">
        <v>42</v>
      </c>
      <c r="AJ34" s="41"/>
      <c r="AK34" s="46"/>
    </row>
    <row r="35" spans="1:37" ht="15">
      <c r="A35" s="8" t="s">
        <v>78</v>
      </c>
      <c r="M35" s="27"/>
      <c r="N35" s="27"/>
      <c r="O35" s="27"/>
      <c r="P35" s="27"/>
      <c r="Q35" s="23"/>
      <c r="S35" s="292"/>
      <c r="T35" s="8" t="s">
        <v>79</v>
      </c>
      <c r="Y35" s="8" t="s">
        <v>76</v>
      </c>
      <c r="Z35" s="286"/>
      <c r="AA35" s="286"/>
      <c r="AB35" s="286"/>
      <c r="AC35" s="286"/>
      <c r="AD35" s="60"/>
      <c r="AG35" s="39">
        <v>20</v>
      </c>
      <c r="AH35" s="23" t="s">
        <v>80</v>
      </c>
      <c r="AI35" s="8" t="s">
        <v>42</v>
      </c>
      <c r="AJ35" s="41"/>
      <c r="AK35" s="44"/>
    </row>
    <row r="36" spans="1:37" ht="15" customHeight="1">
      <c r="A36" s="61" t="s">
        <v>81</v>
      </c>
      <c r="B36" s="61"/>
      <c r="C36" s="61"/>
      <c r="D36" s="61"/>
      <c r="E36" s="61"/>
      <c r="F36" s="61"/>
      <c r="G36" s="61"/>
      <c r="H36" s="61"/>
      <c r="I36" s="61"/>
      <c r="J36" s="61"/>
      <c r="K36" s="61"/>
      <c r="L36" s="61"/>
      <c r="M36" s="61"/>
      <c r="N36" s="61"/>
      <c r="O36" s="61"/>
      <c r="P36" s="61"/>
      <c r="Q36" s="61"/>
      <c r="R36" s="61"/>
      <c r="S36" s="292"/>
      <c r="T36" s="8" t="s">
        <v>82</v>
      </c>
      <c r="Y36" s="8" t="s">
        <v>76</v>
      </c>
      <c r="Z36" s="286"/>
      <c r="AA36" s="286"/>
      <c r="AB36" s="286"/>
      <c r="AC36" s="286"/>
      <c r="AD36" s="60"/>
      <c r="AG36" s="39">
        <v>21</v>
      </c>
      <c r="AH36" s="23" t="s">
        <v>83</v>
      </c>
      <c r="AI36" s="8" t="s">
        <v>42</v>
      </c>
      <c r="AJ36" s="41"/>
      <c r="AK36" s="46"/>
    </row>
    <row r="37" spans="19:37" ht="18" customHeight="1">
      <c r="S37" s="292"/>
      <c r="T37" s="8" t="s">
        <v>84</v>
      </c>
      <c r="Y37" s="8" t="s">
        <v>76</v>
      </c>
      <c r="Z37" s="286"/>
      <c r="AA37" s="286"/>
      <c r="AB37" s="286"/>
      <c r="AC37" s="286"/>
      <c r="AD37" s="60"/>
      <c r="AG37" s="39">
        <v>22</v>
      </c>
      <c r="AH37" s="33" t="s">
        <v>85</v>
      </c>
      <c r="AI37" s="8" t="s">
        <v>42</v>
      </c>
      <c r="AJ37" s="41"/>
      <c r="AK37" s="40"/>
    </row>
    <row r="38" spans="19:37" ht="24.75" customHeight="1">
      <c r="S38" s="292"/>
      <c r="T38" s="8" t="s">
        <v>339</v>
      </c>
      <c r="Y38" s="8" t="s">
        <v>76</v>
      </c>
      <c r="Z38" s="286"/>
      <c r="AA38" s="286"/>
      <c r="AB38" s="286"/>
      <c r="AC38" s="286"/>
      <c r="AD38" s="60"/>
      <c r="AG38" s="39">
        <v>23</v>
      </c>
      <c r="AH38" s="33" t="s">
        <v>86</v>
      </c>
      <c r="AJ38" s="56"/>
      <c r="AK38" s="62"/>
    </row>
    <row r="39" spans="19:37" ht="16.5" customHeight="1">
      <c r="S39" s="292"/>
      <c r="T39" s="294" t="s">
        <v>340</v>
      </c>
      <c r="U39" s="294"/>
      <c r="V39" s="294"/>
      <c r="W39" s="294"/>
      <c r="X39" s="294"/>
      <c r="Y39" s="8" t="s">
        <v>76</v>
      </c>
      <c r="Z39" s="286" t="str">
        <f>'47 In'!J30</f>
        <v>320020.00</v>
      </c>
      <c r="AA39" s="286"/>
      <c r="AB39" s="286"/>
      <c r="AC39" s="286"/>
      <c r="AD39" s="60"/>
      <c r="AF39" s="63"/>
      <c r="AG39" s="318" t="s">
        <v>87</v>
      </c>
      <c r="AH39" s="319"/>
      <c r="AI39" s="8" t="s">
        <v>42</v>
      </c>
      <c r="AJ39" s="41"/>
      <c r="AK39" s="40"/>
    </row>
    <row r="40" spans="19:34" ht="2.25" customHeight="1" hidden="1">
      <c r="S40" s="292"/>
      <c r="T40" s="294"/>
      <c r="U40" s="294"/>
      <c r="V40" s="294"/>
      <c r="W40" s="294"/>
      <c r="X40" s="294"/>
      <c r="Y40" s="8" t="s">
        <v>76</v>
      </c>
      <c r="Z40" s="286"/>
      <c r="AA40" s="286"/>
      <c r="AB40" s="286"/>
      <c r="AC40" s="286"/>
      <c r="AD40" s="60"/>
      <c r="AF40" s="23"/>
      <c r="AG40" s="39"/>
      <c r="AH40" s="23"/>
    </row>
    <row r="41" spans="19:36" ht="3.75" customHeight="1" hidden="1">
      <c r="S41" s="292"/>
      <c r="T41" s="294"/>
      <c r="U41" s="294"/>
      <c r="V41" s="294"/>
      <c r="W41" s="294"/>
      <c r="X41" s="294"/>
      <c r="Y41" s="8" t="s">
        <v>76</v>
      </c>
      <c r="Z41" s="286"/>
      <c r="AA41" s="286"/>
      <c r="AB41" s="286"/>
      <c r="AC41" s="286"/>
      <c r="AD41" s="60"/>
      <c r="AF41" s="60"/>
      <c r="AG41" s="322" t="s">
        <v>88</v>
      </c>
      <c r="AH41" s="323"/>
      <c r="AI41" s="50" t="s">
        <v>76</v>
      </c>
      <c r="AJ41" s="50"/>
    </row>
    <row r="42" spans="19:36" ht="21.75" customHeight="1">
      <c r="S42" s="292"/>
      <c r="T42" s="294"/>
      <c r="U42" s="294"/>
      <c r="V42" s="294"/>
      <c r="W42" s="294"/>
      <c r="X42" s="294"/>
      <c r="Z42" s="90"/>
      <c r="AA42" s="90"/>
      <c r="AB42" s="90"/>
      <c r="AC42" s="90"/>
      <c r="AD42" s="60"/>
      <c r="AF42" s="60"/>
      <c r="AG42" s="91"/>
      <c r="AH42" s="92"/>
      <c r="AI42" s="50"/>
      <c r="AJ42" s="50"/>
    </row>
    <row r="43" spans="19:34" ht="20.25" customHeight="1">
      <c r="S43" s="292"/>
      <c r="T43" s="8" t="s">
        <v>89</v>
      </c>
      <c r="Y43" s="8" t="s">
        <v>76</v>
      </c>
      <c r="Z43" s="286">
        <f>Z34+Z36+Z37+Z39</f>
        <v>320020</v>
      </c>
      <c r="AA43" s="286"/>
      <c r="AB43" s="286"/>
      <c r="AC43" s="286"/>
      <c r="AD43" s="60"/>
      <c r="AF43" s="23"/>
      <c r="AG43" s="39"/>
      <c r="AH43" s="23"/>
    </row>
    <row r="44" spans="19:34" ht="11.25" customHeight="1">
      <c r="S44" s="292"/>
      <c r="T44" s="8" t="s">
        <v>90</v>
      </c>
      <c r="Y44" s="8" t="s">
        <v>76</v>
      </c>
      <c r="Z44" s="295" t="s">
        <v>249</v>
      </c>
      <c r="AA44" s="286"/>
      <c r="AB44" s="286"/>
      <c r="AC44" s="286"/>
      <c r="AD44" s="60"/>
      <c r="AF44" s="23"/>
      <c r="AG44" s="39"/>
      <c r="AH44" s="23"/>
    </row>
    <row r="45" spans="9:34" ht="15" customHeight="1">
      <c r="I45" s="64"/>
      <c r="S45" s="292"/>
      <c r="T45" s="8" t="s">
        <v>91</v>
      </c>
      <c r="Y45" s="8" t="s">
        <v>76</v>
      </c>
      <c r="Z45" s="286">
        <f>Z43</f>
        <v>320020</v>
      </c>
      <c r="AA45" s="286"/>
      <c r="AB45" s="286"/>
      <c r="AC45" s="286"/>
      <c r="AD45" s="60"/>
      <c r="AF45" s="23"/>
      <c r="AG45" s="39"/>
      <c r="AH45" s="23"/>
    </row>
    <row r="46" spans="19:34" ht="18.75" customHeight="1">
      <c r="S46" s="292"/>
      <c r="T46" s="8" t="s">
        <v>92</v>
      </c>
      <c r="AF46" s="23"/>
      <c r="AG46" s="39"/>
      <c r="AH46" s="23"/>
    </row>
    <row r="47" spans="19:35" ht="32.25" customHeight="1">
      <c r="S47" s="292"/>
      <c r="T47" s="287" t="str">
        <f>words!B24</f>
        <v>(Three Lakhs Twenty Thousand and Twenty rupees only)</v>
      </c>
      <c r="U47" s="288"/>
      <c r="V47" s="288"/>
      <c r="W47" s="288"/>
      <c r="X47" s="288"/>
      <c r="Y47" s="288"/>
      <c r="Z47" s="288"/>
      <c r="AA47" s="288"/>
      <c r="AB47" s="288"/>
      <c r="AC47" s="288"/>
      <c r="AD47" s="288"/>
      <c r="AE47" s="288"/>
      <c r="AF47" s="289"/>
      <c r="AG47" s="65"/>
      <c r="AH47" s="23"/>
      <c r="AI47" s="66" t="s">
        <v>93</v>
      </c>
    </row>
    <row r="48" spans="19:37" ht="21" customHeight="1">
      <c r="S48" s="292"/>
      <c r="T48" s="290"/>
      <c r="U48" s="290"/>
      <c r="V48" s="290"/>
      <c r="W48" s="290"/>
      <c r="X48" s="290"/>
      <c r="Y48" s="290"/>
      <c r="Z48" s="290"/>
      <c r="AA48" s="290"/>
      <c r="AB48" s="290"/>
      <c r="AC48" s="290"/>
      <c r="AD48" s="290"/>
      <c r="AE48" s="290"/>
      <c r="AF48" s="291"/>
      <c r="AG48" s="67"/>
      <c r="AH48" s="27"/>
      <c r="AI48" s="27"/>
      <c r="AJ48" s="27"/>
      <c r="AK48" s="27"/>
    </row>
    <row r="49" spans="20:37" ht="11.25" customHeight="1">
      <c r="T49" s="61" t="s">
        <v>94</v>
      </c>
      <c r="U49" s="61"/>
      <c r="V49" s="61"/>
      <c r="W49" s="61"/>
      <c r="X49" s="61"/>
      <c r="Y49" s="61"/>
      <c r="Z49" s="61"/>
      <c r="AA49" s="61"/>
      <c r="AB49" s="61"/>
      <c r="AC49" s="61"/>
      <c r="AD49" s="61"/>
      <c r="AE49" s="61"/>
      <c r="AF49" s="61"/>
      <c r="AG49" s="61"/>
      <c r="AH49" s="61"/>
      <c r="AI49" s="61"/>
      <c r="AJ49" s="61"/>
      <c r="AK49" s="61"/>
    </row>
    <row r="50" spans="1:37" ht="10.5" customHeight="1">
      <c r="A50" s="282"/>
      <c r="B50" s="282"/>
      <c r="C50" s="282"/>
      <c r="D50" s="282"/>
      <c r="E50" s="282"/>
      <c r="F50" s="282"/>
      <c r="G50" s="282"/>
      <c r="H50" s="282"/>
      <c r="I50" s="282"/>
      <c r="J50" s="282"/>
      <c r="K50" s="282"/>
      <c r="L50" s="282"/>
      <c r="M50" s="282"/>
      <c r="N50" s="282"/>
      <c r="O50" s="68"/>
      <c r="P50" s="69"/>
      <c r="T50" s="70" t="s">
        <v>95</v>
      </c>
      <c r="U50" s="71"/>
      <c r="V50" s="71"/>
      <c r="W50" s="71"/>
      <c r="X50" s="71"/>
      <c r="Y50" s="71"/>
      <c r="Z50" s="71"/>
      <c r="AA50" s="71" t="s">
        <v>96</v>
      </c>
      <c r="AB50" s="71"/>
      <c r="AC50" s="71"/>
      <c r="AD50" s="71"/>
      <c r="AE50" s="71"/>
      <c r="AF50" s="71"/>
      <c r="AG50" s="71"/>
      <c r="AH50" s="71"/>
      <c r="AI50" s="71"/>
      <c r="AJ50" s="71"/>
      <c r="AK50" s="71"/>
    </row>
    <row r="51" spans="1:37" ht="10.5" customHeight="1">
      <c r="A51" s="282"/>
      <c r="B51" s="283"/>
      <c r="C51" s="283"/>
      <c r="D51" s="283"/>
      <c r="E51" s="283"/>
      <c r="F51" s="283"/>
      <c r="G51" s="283"/>
      <c r="H51" s="283"/>
      <c r="I51" s="283"/>
      <c r="J51" s="283"/>
      <c r="K51" s="283"/>
      <c r="L51" s="283"/>
      <c r="M51" s="283"/>
      <c r="N51" s="283"/>
      <c r="O51" s="283"/>
      <c r="P51" s="68"/>
      <c r="T51" s="70" t="s">
        <v>97</v>
      </c>
      <c r="U51" s="71"/>
      <c r="V51" s="71"/>
      <c r="W51" s="71"/>
      <c r="X51" s="71"/>
      <c r="Y51" s="71"/>
      <c r="Z51" s="71"/>
      <c r="AA51" s="71"/>
      <c r="AB51" s="71"/>
      <c r="AC51" s="71"/>
      <c r="AD51" s="71"/>
      <c r="AE51" s="71"/>
      <c r="AF51" s="71"/>
      <c r="AG51" s="71"/>
      <c r="AH51" s="71"/>
      <c r="AI51" s="71"/>
      <c r="AJ51" s="71"/>
      <c r="AK51" s="71"/>
    </row>
    <row r="52" spans="1:37" ht="12" customHeight="1">
      <c r="A52" s="282"/>
      <c r="B52" s="283"/>
      <c r="C52" s="283"/>
      <c r="D52" s="284"/>
      <c r="E52" s="284"/>
      <c r="F52" s="284"/>
      <c r="G52" s="284"/>
      <c r="H52" s="284"/>
      <c r="I52" s="284"/>
      <c r="J52" s="284"/>
      <c r="K52" s="284"/>
      <c r="L52" s="284"/>
      <c r="M52" s="284"/>
      <c r="N52" s="284"/>
      <c r="O52" s="284"/>
      <c r="P52" s="72"/>
      <c r="T52" s="70" t="s">
        <v>98</v>
      </c>
      <c r="U52" s="71"/>
      <c r="V52" s="71"/>
      <c r="W52" s="71"/>
      <c r="X52" s="71"/>
      <c r="Y52" s="71"/>
      <c r="Z52" s="71"/>
      <c r="AA52" s="71"/>
      <c r="AB52" s="71"/>
      <c r="AC52" s="71"/>
      <c r="AD52" s="71"/>
      <c r="AE52" s="71"/>
      <c r="AF52" s="71"/>
      <c r="AG52" s="71"/>
      <c r="AH52" s="71"/>
      <c r="AI52" s="71"/>
      <c r="AJ52" s="71"/>
      <c r="AK52" s="71"/>
    </row>
    <row r="53" spans="1:37" ht="17.25" customHeight="1" hidden="1">
      <c r="A53" s="282"/>
      <c r="B53" s="283"/>
      <c r="C53" s="283"/>
      <c r="D53" s="284"/>
      <c r="E53" s="285"/>
      <c r="F53" s="285"/>
      <c r="G53" s="285"/>
      <c r="H53" s="285"/>
      <c r="I53" s="284"/>
      <c r="J53" s="284"/>
      <c r="K53" s="285"/>
      <c r="L53" s="285"/>
      <c r="M53" s="285"/>
      <c r="N53" s="285"/>
      <c r="O53" s="284"/>
      <c r="P53" s="72"/>
      <c r="T53" s="70" t="s">
        <v>99</v>
      </c>
      <c r="U53" s="71"/>
      <c r="V53" s="71"/>
      <c r="W53" s="71"/>
      <c r="X53" s="71"/>
      <c r="Y53" s="71"/>
      <c r="Z53" s="71"/>
      <c r="AA53" s="71"/>
      <c r="AB53" s="71"/>
      <c r="AC53" s="71"/>
      <c r="AD53" s="71"/>
      <c r="AE53" s="71"/>
      <c r="AF53" s="71"/>
      <c r="AG53" s="71"/>
      <c r="AH53" s="71"/>
      <c r="AI53" s="71"/>
      <c r="AJ53" s="71"/>
      <c r="AK53" s="71"/>
    </row>
    <row r="54" spans="1:37" ht="12.75" customHeight="1" hidden="1">
      <c r="A54" s="282"/>
      <c r="B54" s="283"/>
      <c r="C54" s="283"/>
      <c r="D54" s="284"/>
      <c r="E54" s="285"/>
      <c r="F54" s="285"/>
      <c r="G54" s="285"/>
      <c r="H54" s="285"/>
      <c r="I54" s="284"/>
      <c r="J54" s="284"/>
      <c r="K54" s="285"/>
      <c r="L54" s="285"/>
      <c r="M54" s="285"/>
      <c r="N54" s="285"/>
      <c r="O54" s="284"/>
      <c r="P54" s="68"/>
      <c r="T54" s="71"/>
      <c r="U54" s="71"/>
      <c r="V54" s="71"/>
      <c r="W54" s="71"/>
      <c r="X54" s="71"/>
      <c r="Y54" s="71"/>
      <c r="Z54" s="71"/>
      <c r="AA54" s="71"/>
      <c r="AB54" s="71"/>
      <c r="AC54" s="71"/>
      <c r="AD54" s="71"/>
      <c r="AE54" s="71"/>
      <c r="AF54" s="71"/>
      <c r="AG54" s="71"/>
      <c r="AH54" s="71"/>
      <c r="AI54" s="71"/>
      <c r="AJ54" s="71"/>
      <c r="AK54" s="71"/>
    </row>
    <row r="55" spans="1:37" ht="16.5" customHeight="1">
      <c r="A55" s="282"/>
      <c r="B55" s="283"/>
      <c r="C55" s="283"/>
      <c r="D55" s="284"/>
      <c r="E55" s="285"/>
      <c r="F55" s="285"/>
      <c r="G55" s="285"/>
      <c r="H55" s="285"/>
      <c r="I55" s="284"/>
      <c r="J55" s="284"/>
      <c r="K55" s="285"/>
      <c r="L55" s="285"/>
      <c r="M55" s="285"/>
      <c r="N55" s="285"/>
      <c r="O55" s="284"/>
      <c r="P55" s="68"/>
      <c r="T55" s="71"/>
      <c r="U55" s="71"/>
      <c r="V55" s="71">
        <v>1</v>
      </c>
      <c r="W55" s="71" t="s">
        <v>100</v>
      </c>
      <c r="Y55" s="71"/>
      <c r="Z55" s="71"/>
      <c r="AA55" s="71"/>
      <c r="AB55" s="71"/>
      <c r="AC55" s="73" t="s">
        <v>101</v>
      </c>
      <c r="AD55" s="71"/>
      <c r="AF55" s="71"/>
      <c r="AG55" s="71"/>
      <c r="AH55" s="71"/>
      <c r="AI55" s="71"/>
      <c r="AJ55" s="71"/>
      <c r="AK55" s="71"/>
    </row>
    <row r="56" spans="1:37" ht="9" customHeight="1">
      <c r="A56" s="74"/>
      <c r="B56" s="282"/>
      <c r="C56" s="282"/>
      <c r="D56" s="74"/>
      <c r="E56" s="74"/>
      <c r="F56" s="74"/>
      <c r="G56" s="74"/>
      <c r="H56" s="74"/>
      <c r="I56" s="74"/>
      <c r="J56" s="74"/>
      <c r="K56" s="74"/>
      <c r="L56" s="74"/>
      <c r="M56" s="74"/>
      <c r="N56" s="74"/>
      <c r="O56" s="74"/>
      <c r="P56" s="74"/>
      <c r="T56" s="75"/>
      <c r="U56" s="75"/>
      <c r="V56" s="71"/>
      <c r="W56" s="71" t="s">
        <v>102</v>
      </c>
      <c r="Y56" s="71"/>
      <c r="Z56" s="71"/>
      <c r="AA56" s="71"/>
      <c r="AB56" s="71"/>
      <c r="AC56" s="71"/>
      <c r="AD56" s="71"/>
      <c r="AF56" s="71"/>
      <c r="AG56" s="71"/>
      <c r="AH56" s="71"/>
      <c r="AI56" s="71"/>
      <c r="AJ56" s="71"/>
      <c r="AK56" s="71"/>
    </row>
    <row r="57" spans="1:37" ht="10.5" customHeight="1">
      <c r="A57" s="283"/>
      <c r="B57" s="282"/>
      <c r="C57" s="285"/>
      <c r="D57" s="283"/>
      <c r="E57" s="283"/>
      <c r="F57" s="283"/>
      <c r="G57" s="283"/>
      <c r="H57" s="283"/>
      <c r="I57" s="283"/>
      <c r="J57" s="283"/>
      <c r="K57" s="283"/>
      <c r="L57" s="283"/>
      <c r="M57" s="283"/>
      <c r="N57" s="283"/>
      <c r="O57" s="283"/>
      <c r="P57" s="23"/>
      <c r="T57" s="75"/>
      <c r="U57" s="75"/>
      <c r="V57" s="71">
        <v>2</v>
      </c>
      <c r="W57" s="71" t="s">
        <v>100</v>
      </c>
      <c r="Y57" s="71"/>
      <c r="Z57" s="71"/>
      <c r="AA57" s="71"/>
      <c r="AB57" s="71"/>
      <c r="AC57" s="71" t="s">
        <v>103</v>
      </c>
      <c r="AD57" s="71"/>
      <c r="AF57" s="71"/>
      <c r="AG57" s="71"/>
      <c r="AH57" s="71"/>
      <c r="AI57" s="71"/>
      <c r="AJ57" s="71"/>
      <c r="AK57" s="71"/>
    </row>
    <row r="58" spans="1:37" ht="11.25" customHeight="1">
      <c r="A58" s="285"/>
      <c r="B58" s="285"/>
      <c r="C58" s="285"/>
      <c r="D58" s="283"/>
      <c r="E58" s="283"/>
      <c r="F58" s="283"/>
      <c r="G58" s="283"/>
      <c r="H58" s="283"/>
      <c r="I58" s="283"/>
      <c r="J58" s="283"/>
      <c r="K58" s="283"/>
      <c r="L58" s="283"/>
      <c r="M58" s="283"/>
      <c r="N58" s="283"/>
      <c r="O58" s="283"/>
      <c r="P58" s="23"/>
      <c r="T58" s="75"/>
      <c r="U58" s="75"/>
      <c r="V58" s="71"/>
      <c r="W58" s="71" t="s">
        <v>104</v>
      </c>
      <c r="Y58" s="71"/>
      <c r="Z58" s="71"/>
      <c r="AA58" s="71"/>
      <c r="AB58" s="71"/>
      <c r="AC58" s="71"/>
      <c r="AD58" s="71"/>
      <c r="AE58" s="71"/>
      <c r="AF58" s="71"/>
      <c r="AG58" s="71"/>
      <c r="AH58" s="71"/>
      <c r="AI58" s="71"/>
      <c r="AJ58" s="71"/>
      <c r="AK58" s="71"/>
    </row>
    <row r="59" spans="1:37" ht="10.5" customHeight="1">
      <c r="A59" s="285"/>
      <c r="B59" s="285"/>
      <c r="C59" s="285"/>
      <c r="D59" s="283"/>
      <c r="E59" s="283"/>
      <c r="F59" s="283"/>
      <c r="G59" s="283"/>
      <c r="H59" s="283"/>
      <c r="I59" s="283"/>
      <c r="J59" s="283"/>
      <c r="K59" s="283"/>
      <c r="L59" s="283"/>
      <c r="M59" s="283"/>
      <c r="N59" s="283"/>
      <c r="O59" s="283"/>
      <c r="P59" s="23"/>
      <c r="T59" s="75"/>
      <c r="U59" s="75"/>
      <c r="V59" s="71"/>
      <c r="W59" s="71"/>
      <c r="X59" s="71"/>
      <c r="Y59" s="71"/>
      <c r="Z59" s="71"/>
      <c r="AA59" s="71"/>
      <c r="AB59" s="71"/>
      <c r="AC59" s="71"/>
      <c r="AD59" s="71"/>
      <c r="AE59" s="71"/>
      <c r="AF59" s="71"/>
      <c r="AG59" s="71"/>
      <c r="AH59" s="71"/>
      <c r="AI59" s="71"/>
      <c r="AJ59" s="71"/>
      <c r="AK59" s="71"/>
    </row>
    <row r="60" spans="1:37" ht="22.5" customHeight="1">
      <c r="A60" s="76"/>
      <c r="B60" s="282"/>
      <c r="C60" s="282"/>
      <c r="D60" s="23"/>
      <c r="E60" s="23"/>
      <c r="F60" s="23"/>
      <c r="G60" s="23"/>
      <c r="H60" s="23"/>
      <c r="I60" s="23"/>
      <c r="J60" s="23"/>
      <c r="K60" s="23"/>
      <c r="L60" s="23"/>
      <c r="M60" s="23"/>
      <c r="N60" s="23"/>
      <c r="O60" s="23"/>
      <c r="P60" s="23"/>
      <c r="T60" s="71"/>
      <c r="U60" s="71"/>
      <c r="V60" s="71"/>
      <c r="W60" s="71"/>
      <c r="X60" s="71"/>
      <c r="Y60" s="71"/>
      <c r="Z60" s="71"/>
      <c r="AA60" s="71"/>
      <c r="AB60" s="77" t="s">
        <v>105</v>
      </c>
      <c r="AC60" s="78"/>
      <c r="AD60" s="78"/>
      <c r="AE60" s="78"/>
      <c r="AF60" s="78"/>
      <c r="AG60" s="78"/>
      <c r="AH60" s="78"/>
      <c r="AI60" s="78"/>
      <c r="AJ60" s="78"/>
      <c r="AK60" s="78"/>
    </row>
  </sheetData>
  <sheetProtection formatCells="0" formatColumns="0" formatRows="0" insertColumns="0" insertRows="0" insertHyperlinks="0" deleteColumns="0" deleteRows="0" sort="0" autoFilter="0" pivotTables="0"/>
  <mergeCells count="83">
    <mergeCell ref="AG39:AH39"/>
    <mergeCell ref="Z40:AC40"/>
    <mergeCell ref="AI12:AK13"/>
    <mergeCell ref="AG41:AH41"/>
    <mergeCell ref="Z23:AE24"/>
    <mergeCell ref="Z27:AE27"/>
    <mergeCell ref="Z20:AE21"/>
    <mergeCell ref="T1:AK1"/>
    <mergeCell ref="T32:V32"/>
    <mergeCell ref="Z35:AC35"/>
    <mergeCell ref="Z36:AC36"/>
    <mergeCell ref="T22:U22"/>
    <mergeCell ref="AG12:AH13"/>
    <mergeCell ref="V10:AA11"/>
    <mergeCell ref="AG10:AH11"/>
    <mergeCell ref="AI10:AK11"/>
    <mergeCell ref="T10:U11"/>
    <mergeCell ref="T39:X42"/>
    <mergeCell ref="Z43:AC43"/>
    <mergeCell ref="Z44:AC44"/>
    <mergeCell ref="Z34:AC34"/>
    <mergeCell ref="Z39:AC39"/>
    <mergeCell ref="Z38:AC38"/>
    <mergeCell ref="Z37:AC37"/>
    <mergeCell ref="M52:M55"/>
    <mergeCell ref="Z41:AC41"/>
    <mergeCell ref="T47:AF48"/>
    <mergeCell ref="A50:N50"/>
    <mergeCell ref="O52:O55"/>
    <mergeCell ref="S6:S48"/>
    <mergeCell ref="D11:P13"/>
    <mergeCell ref="J34:P34"/>
    <mergeCell ref="T29:V29"/>
    <mergeCell ref="J52:J55"/>
    <mergeCell ref="J57:J59"/>
    <mergeCell ref="F57:F59"/>
    <mergeCell ref="Z45:AC45"/>
    <mergeCell ref="O57:O59"/>
    <mergeCell ref="J51:O51"/>
    <mergeCell ref="K57:K59"/>
    <mergeCell ref="N57:N59"/>
    <mergeCell ref="L52:L55"/>
    <mergeCell ref="K52:K55"/>
    <mergeCell ref="N52:N55"/>
    <mergeCell ref="M57:M59"/>
    <mergeCell ref="A51:A55"/>
    <mergeCell ref="E57:E59"/>
    <mergeCell ref="L57:L59"/>
    <mergeCell ref="A57:A59"/>
    <mergeCell ref="B56:C56"/>
    <mergeCell ref="B51:C55"/>
    <mergeCell ref="D52:D55"/>
    <mergeCell ref="D57:D59"/>
    <mergeCell ref="F52:F55"/>
    <mergeCell ref="B60:C60"/>
    <mergeCell ref="D51:I51"/>
    <mergeCell ref="G52:G55"/>
    <mergeCell ref="H52:H55"/>
    <mergeCell ref="I52:I55"/>
    <mergeCell ref="B57:C59"/>
    <mergeCell ref="G57:G59"/>
    <mergeCell ref="H57:H59"/>
    <mergeCell ref="E52:E55"/>
    <mergeCell ref="I57:I59"/>
    <mergeCell ref="T9:U9"/>
    <mergeCell ref="AI7:AK7"/>
    <mergeCell ref="Y7:AA7"/>
    <mergeCell ref="J9:P9"/>
    <mergeCell ref="A11:B11"/>
    <mergeCell ref="V9:AA9"/>
    <mergeCell ref="A2:Q2"/>
    <mergeCell ref="I3:N3"/>
    <mergeCell ref="I4:N4"/>
    <mergeCell ref="T4:AK4"/>
    <mergeCell ref="T2:AK3"/>
    <mergeCell ref="I5:N5"/>
    <mergeCell ref="T5:AK5"/>
    <mergeCell ref="AD6:AE6"/>
    <mergeCell ref="J19:P19"/>
    <mergeCell ref="T12:U13"/>
    <mergeCell ref="T31:W31"/>
    <mergeCell ref="T26:U26"/>
    <mergeCell ref="V12:AA13"/>
  </mergeCells>
  <printOptions/>
  <pageMargins left="0.37" right="0.29" top="0.25" bottom="0.25" header="0.25" footer="0"/>
  <pageSetup horizontalDpi="300" verticalDpi="300" orientation="portrait" paperSize="5" scale="105" r:id="rId1"/>
</worksheet>
</file>

<file path=xl/worksheets/sheet6.xml><?xml version="1.0" encoding="utf-8"?>
<worksheet xmlns="http://schemas.openxmlformats.org/spreadsheetml/2006/main" xmlns:r="http://schemas.openxmlformats.org/officeDocument/2006/relationships">
  <dimension ref="A2:DD39"/>
  <sheetViews>
    <sheetView zoomScalePageLayoutView="0" workbookViewId="0" topLeftCell="U1">
      <selection activeCell="A1" sqref="A1:T16384"/>
    </sheetView>
  </sheetViews>
  <sheetFormatPr defaultColWidth="5.7109375" defaultRowHeight="12" customHeight="1"/>
  <cols>
    <col min="1" max="1" width="15.8515625" style="93" hidden="1" customWidth="1"/>
    <col min="2" max="2" width="89.421875" style="93" hidden="1" customWidth="1"/>
    <col min="3" max="3" width="6.421875" style="93" hidden="1" customWidth="1"/>
    <col min="4" max="7" width="5.7109375" style="93" hidden="1" customWidth="1"/>
    <col min="8" max="8" width="7.8515625" style="93" hidden="1" customWidth="1"/>
    <col min="9" max="9" width="5.7109375" style="93" hidden="1" customWidth="1"/>
    <col min="10" max="10" width="10.28125" style="93" hidden="1" customWidth="1"/>
    <col min="11" max="17" width="5.7109375" style="93" hidden="1" customWidth="1"/>
    <col min="18" max="18" width="18.7109375" style="93" hidden="1" customWidth="1"/>
    <col min="19" max="19" width="10.7109375" style="93" hidden="1" customWidth="1"/>
    <col min="20" max="20" width="0" style="93" hidden="1" customWidth="1"/>
    <col min="21" max="16384" width="5.7109375" style="93" customWidth="1"/>
  </cols>
  <sheetData>
    <row r="2" spans="7:108" ht="12" customHeight="1" hidden="1">
      <c r="G2" s="93">
        <v>1</v>
      </c>
      <c r="H2" s="93">
        <v>2</v>
      </c>
      <c r="I2" s="93">
        <v>3</v>
      </c>
      <c r="J2" s="93">
        <v>4</v>
      </c>
      <c r="K2" s="93">
        <v>5</v>
      </c>
      <c r="L2" s="93">
        <v>6</v>
      </c>
      <c r="M2" s="93">
        <v>7</v>
      </c>
      <c r="Q2" s="93">
        <v>8</v>
      </c>
      <c r="R2" s="93">
        <v>9</v>
      </c>
      <c r="S2" s="93">
        <v>10</v>
      </c>
      <c r="T2" s="93">
        <v>11</v>
      </c>
      <c r="U2" s="93">
        <v>12</v>
      </c>
      <c r="V2" s="93">
        <v>13</v>
      </c>
      <c r="W2" s="93">
        <v>14</v>
      </c>
      <c r="X2" s="93">
        <v>15</v>
      </c>
      <c r="Y2" s="93">
        <v>16</v>
      </c>
      <c r="Z2" s="93">
        <v>17</v>
      </c>
      <c r="AA2" s="93">
        <v>18</v>
      </c>
      <c r="AB2" s="93">
        <v>19</v>
      </c>
      <c r="AC2" s="93">
        <v>20</v>
      </c>
      <c r="AD2" s="93">
        <v>21</v>
      </c>
      <c r="AE2" s="93">
        <v>22</v>
      </c>
      <c r="AF2" s="93">
        <v>23</v>
      </c>
      <c r="AG2" s="93">
        <v>24</v>
      </c>
      <c r="AH2" s="93">
        <v>25</v>
      </c>
      <c r="AI2" s="93">
        <v>26</v>
      </c>
      <c r="AJ2" s="93">
        <v>27</v>
      </c>
      <c r="AK2" s="93">
        <v>28</v>
      </c>
      <c r="AL2" s="93">
        <v>29</v>
      </c>
      <c r="AM2" s="93">
        <v>30</v>
      </c>
      <c r="AN2" s="93">
        <v>31</v>
      </c>
      <c r="AO2" s="93">
        <v>32</v>
      </c>
      <c r="AP2" s="93">
        <v>33</v>
      </c>
      <c r="AQ2" s="93">
        <v>34</v>
      </c>
      <c r="AR2" s="93">
        <v>35</v>
      </c>
      <c r="AS2" s="93">
        <v>36</v>
      </c>
      <c r="AT2" s="93">
        <v>37</v>
      </c>
      <c r="AU2" s="93">
        <v>38</v>
      </c>
      <c r="AV2" s="93">
        <v>39</v>
      </c>
      <c r="AW2" s="93">
        <v>40</v>
      </c>
      <c r="AX2" s="93">
        <v>41</v>
      </c>
      <c r="AY2" s="93">
        <v>42</v>
      </c>
      <c r="AZ2" s="93">
        <v>43</v>
      </c>
      <c r="BA2" s="93">
        <v>44</v>
      </c>
      <c r="BB2" s="93">
        <v>45</v>
      </c>
      <c r="BC2" s="93">
        <v>46</v>
      </c>
      <c r="BD2" s="93">
        <v>47</v>
      </c>
      <c r="BE2" s="93">
        <v>48</v>
      </c>
      <c r="BF2" s="93">
        <v>49</v>
      </c>
      <c r="BG2" s="93">
        <v>50</v>
      </c>
      <c r="BH2" s="93">
        <v>51</v>
      </c>
      <c r="BI2" s="93">
        <v>52</v>
      </c>
      <c r="BJ2" s="93">
        <v>53</v>
      </c>
      <c r="BK2" s="93">
        <v>54</v>
      </c>
      <c r="BL2" s="93">
        <v>55</v>
      </c>
      <c r="BM2" s="93">
        <v>56</v>
      </c>
      <c r="BN2" s="93">
        <v>57</v>
      </c>
      <c r="BO2" s="93">
        <v>58</v>
      </c>
      <c r="BP2" s="93">
        <v>59</v>
      </c>
      <c r="BQ2" s="93">
        <v>60</v>
      </c>
      <c r="BR2" s="93">
        <v>61</v>
      </c>
      <c r="BS2" s="93">
        <v>62</v>
      </c>
      <c r="BT2" s="93">
        <v>63</v>
      </c>
      <c r="BU2" s="93">
        <v>64</v>
      </c>
      <c r="BV2" s="93">
        <v>65</v>
      </c>
      <c r="BW2" s="93">
        <v>66</v>
      </c>
      <c r="BX2" s="93">
        <v>67</v>
      </c>
      <c r="BY2" s="93">
        <v>68</v>
      </c>
      <c r="BZ2" s="93">
        <v>69</v>
      </c>
      <c r="CA2" s="93">
        <v>70</v>
      </c>
      <c r="CB2" s="93">
        <v>71</v>
      </c>
      <c r="CC2" s="93">
        <v>72</v>
      </c>
      <c r="CD2" s="93">
        <v>73</v>
      </c>
      <c r="CE2" s="93">
        <v>74</v>
      </c>
      <c r="CF2" s="93">
        <v>75</v>
      </c>
      <c r="CG2" s="93">
        <v>76</v>
      </c>
      <c r="CH2" s="93">
        <v>77</v>
      </c>
      <c r="CI2" s="93">
        <v>78</v>
      </c>
      <c r="CJ2" s="93">
        <v>79</v>
      </c>
      <c r="CK2" s="93">
        <v>80</v>
      </c>
      <c r="CL2" s="93">
        <v>81</v>
      </c>
      <c r="CM2" s="93">
        <v>82</v>
      </c>
      <c r="CN2" s="93">
        <v>83</v>
      </c>
      <c r="CO2" s="93">
        <v>84</v>
      </c>
      <c r="CP2" s="93">
        <v>85</v>
      </c>
      <c r="CQ2" s="93">
        <v>86</v>
      </c>
      <c r="CR2" s="93">
        <v>87</v>
      </c>
      <c r="CS2" s="93">
        <v>88</v>
      </c>
      <c r="CT2" s="93">
        <v>89</v>
      </c>
      <c r="CU2" s="93">
        <v>90</v>
      </c>
      <c r="CV2" s="93">
        <v>91</v>
      </c>
      <c r="CW2" s="93">
        <v>92</v>
      </c>
      <c r="CX2" s="93">
        <v>93</v>
      </c>
      <c r="CY2" s="93">
        <v>94</v>
      </c>
      <c r="CZ2" s="93">
        <v>95</v>
      </c>
      <c r="DA2" s="93">
        <v>96</v>
      </c>
      <c r="DB2" s="93">
        <v>97</v>
      </c>
      <c r="DC2" s="93">
        <v>98</v>
      </c>
      <c r="DD2" s="93">
        <v>99</v>
      </c>
    </row>
    <row r="3" spans="7:108" ht="12" customHeight="1" hidden="1">
      <c r="G3" s="93" t="s">
        <v>117</v>
      </c>
      <c r="H3" s="94" t="s">
        <v>118</v>
      </c>
      <c r="I3" s="94" t="s">
        <v>119</v>
      </c>
      <c r="J3" s="94" t="s">
        <v>120</v>
      </c>
      <c r="K3" s="94" t="s">
        <v>121</v>
      </c>
      <c r="L3" s="94" t="s">
        <v>122</v>
      </c>
      <c r="M3" s="94" t="s">
        <v>123</v>
      </c>
      <c r="N3" s="94"/>
      <c r="O3" s="94"/>
      <c r="P3" s="94"/>
      <c r="Q3" s="94" t="s">
        <v>124</v>
      </c>
      <c r="R3" s="94" t="s">
        <v>125</v>
      </c>
      <c r="S3" s="94" t="s">
        <v>126</v>
      </c>
      <c r="T3" s="94" t="s">
        <v>127</v>
      </c>
      <c r="U3" s="94" t="s">
        <v>128</v>
      </c>
      <c r="V3" s="94" t="s">
        <v>129</v>
      </c>
      <c r="W3" s="94" t="s">
        <v>130</v>
      </c>
      <c r="X3" s="94" t="s">
        <v>131</v>
      </c>
      <c r="Y3" s="94" t="s">
        <v>132</v>
      </c>
      <c r="Z3" s="94" t="s">
        <v>133</v>
      </c>
      <c r="AA3" s="94" t="s">
        <v>134</v>
      </c>
      <c r="AB3" s="94" t="s">
        <v>135</v>
      </c>
      <c r="AC3" s="94" t="s">
        <v>136</v>
      </c>
      <c r="AD3" s="94" t="s">
        <v>137</v>
      </c>
      <c r="AE3" s="94" t="s">
        <v>138</v>
      </c>
      <c r="AF3" s="94" t="s">
        <v>139</v>
      </c>
      <c r="AG3" s="94" t="s">
        <v>140</v>
      </c>
      <c r="AH3" s="94" t="s">
        <v>141</v>
      </c>
      <c r="AI3" s="94" t="s">
        <v>142</v>
      </c>
      <c r="AJ3" s="94" t="s">
        <v>143</v>
      </c>
      <c r="AK3" s="94" t="s">
        <v>144</v>
      </c>
      <c r="AL3" s="94" t="s">
        <v>145</v>
      </c>
      <c r="AM3" s="94" t="s">
        <v>146</v>
      </c>
      <c r="AN3" s="94" t="s">
        <v>147</v>
      </c>
      <c r="AO3" s="94" t="s">
        <v>148</v>
      </c>
      <c r="AP3" s="94" t="s">
        <v>149</v>
      </c>
      <c r="AQ3" s="94" t="s">
        <v>150</v>
      </c>
      <c r="AR3" s="94" t="s">
        <v>151</v>
      </c>
      <c r="AS3" s="94" t="s">
        <v>152</v>
      </c>
      <c r="AT3" s="94" t="s">
        <v>153</v>
      </c>
      <c r="AU3" s="94" t="s">
        <v>154</v>
      </c>
      <c r="AV3" s="94" t="s">
        <v>155</v>
      </c>
      <c r="AW3" s="94" t="s">
        <v>156</v>
      </c>
      <c r="AX3" s="94" t="s">
        <v>157</v>
      </c>
      <c r="AY3" s="94" t="s">
        <v>158</v>
      </c>
      <c r="AZ3" s="94" t="s">
        <v>159</v>
      </c>
      <c r="BA3" s="94" t="s">
        <v>160</v>
      </c>
      <c r="BB3" s="94" t="s">
        <v>161</v>
      </c>
      <c r="BC3" s="94" t="s">
        <v>162</v>
      </c>
      <c r="BD3" s="94" t="s">
        <v>163</v>
      </c>
      <c r="BE3" s="94" t="s">
        <v>164</v>
      </c>
      <c r="BF3" s="94" t="s">
        <v>165</v>
      </c>
      <c r="BG3" s="94" t="s">
        <v>166</v>
      </c>
      <c r="BH3" s="94" t="s">
        <v>167</v>
      </c>
      <c r="BI3" s="94" t="s">
        <v>168</v>
      </c>
      <c r="BJ3" s="94" t="s">
        <v>169</v>
      </c>
      <c r="BK3" s="94" t="s">
        <v>170</v>
      </c>
      <c r="BL3" s="94" t="s">
        <v>171</v>
      </c>
      <c r="BM3" s="94" t="s">
        <v>172</v>
      </c>
      <c r="BN3" s="94" t="s">
        <v>173</v>
      </c>
      <c r="BO3" s="94" t="s">
        <v>174</v>
      </c>
      <c r="BP3" s="94" t="s">
        <v>175</v>
      </c>
      <c r="BQ3" s="94" t="s">
        <v>176</v>
      </c>
      <c r="BR3" s="94" t="s">
        <v>177</v>
      </c>
      <c r="BS3" s="94" t="s">
        <v>178</v>
      </c>
      <c r="BT3" s="94" t="s">
        <v>179</v>
      </c>
      <c r="BU3" s="94" t="s">
        <v>180</v>
      </c>
      <c r="BV3" s="94" t="s">
        <v>181</v>
      </c>
      <c r="BW3" s="94" t="s">
        <v>182</v>
      </c>
      <c r="BX3" s="94" t="s">
        <v>183</v>
      </c>
      <c r="BY3" s="94" t="s">
        <v>184</v>
      </c>
      <c r="BZ3" s="94" t="s">
        <v>185</v>
      </c>
      <c r="CA3" s="94" t="s">
        <v>186</v>
      </c>
      <c r="CB3" s="94" t="s">
        <v>187</v>
      </c>
      <c r="CC3" s="94" t="s">
        <v>188</v>
      </c>
      <c r="CD3" s="94" t="s">
        <v>189</v>
      </c>
      <c r="CE3" s="94" t="s">
        <v>190</v>
      </c>
      <c r="CF3" s="94" t="s">
        <v>191</v>
      </c>
      <c r="CG3" s="94" t="s">
        <v>192</v>
      </c>
      <c r="CH3" s="94" t="s">
        <v>193</v>
      </c>
      <c r="CI3" s="94" t="s">
        <v>194</v>
      </c>
      <c r="CJ3" s="94" t="s">
        <v>195</v>
      </c>
      <c r="CK3" s="94" t="s">
        <v>196</v>
      </c>
      <c r="CL3" s="94" t="s">
        <v>197</v>
      </c>
      <c r="CM3" s="94" t="s">
        <v>198</v>
      </c>
      <c r="CN3" s="94" t="s">
        <v>199</v>
      </c>
      <c r="CO3" s="94" t="s">
        <v>200</v>
      </c>
      <c r="CP3" s="94" t="s">
        <v>201</v>
      </c>
      <c r="CQ3" s="94" t="s">
        <v>202</v>
      </c>
      <c r="CR3" s="94" t="s">
        <v>203</v>
      </c>
      <c r="CS3" s="94" t="s">
        <v>204</v>
      </c>
      <c r="CT3" s="94" t="s">
        <v>205</v>
      </c>
      <c r="CU3" s="94" t="s">
        <v>206</v>
      </c>
      <c r="CV3" s="94" t="s">
        <v>207</v>
      </c>
      <c r="CW3" s="94" t="s">
        <v>208</v>
      </c>
      <c r="CX3" s="94" t="s">
        <v>209</v>
      </c>
      <c r="CY3" s="94" t="s">
        <v>210</v>
      </c>
      <c r="CZ3" s="94" t="s">
        <v>211</v>
      </c>
      <c r="DA3" s="94" t="s">
        <v>212</v>
      </c>
      <c r="DB3" s="94" t="s">
        <v>213</v>
      </c>
      <c r="DC3" s="94" t="s">
        <v>214</v>
      </c>
      <c r="DD3" s="94" t="s">
        <v>215</v>
      </c>
    </row>
    <row r="4" ht="12" customHeight="1" hidden="1"/>
    <row r="5" ht="12" customHeight="1" hidden="1"/>
    <row r="6" spans="18:19" ht="18.75" customHeight="1">
      <c r="R6" s="328" t="s">
        <v>216</v>
      </c>
      <c r="S6" s="328"/>
    </row>
    <row r="7" spans="1:19" ht="12" customHeight="1">
      <c r="A7" s="95" t="s">
        <v>217</v>
      </c>
      <c r="R7" s="329" t="s">
        <v>218</v>
      </c>
      <c r="S7" s="330"/>
    </row>
    <row r="8" spans="1:19" ht="17.25" customHeight="1">
      <c r="A8" s="95" t="s">
        <v>219</v>
      </c>
      <c r="R8" s="331" t="s">
        <v>220</v>
      </c>
      <c r="S8" s="332"/>
    </row>
    <row r="9" spans="1:19" ht="17.25" customHeight="1">
      <c r="A9" s="95" t="s">
        <v>221</v>
      </c>
      <c r="R9" s="329" t="s">
        <v>225</v>
      </c>
      <c r="S9" s="333"/>
    </row>
    <row r="10" ht="29.25" customHeight="1" thickBot="1">
      <c r="A10" s="95" t="s">
        <v>222</v>
      </c>
    </row>
    <row r="11" spans="3:10" ht="15" customHeight="1" hidden="1">
      <c r="C11" s="96"/>
      <c r="D11" s="96"/>
      <c r="E11" s="96"/>
      <c r="F11" s="96"/>
      <c r="G11" s="96"/>
      <c r="H11" s="96"/>
      <c r="I11" s="96"/>
      <c r="J11" s="96"/>
    </row>
    <row r="12" spans="3:12" ht="15" customHeight="1" hidden="1">
      <c r="C12" s="96"/>
      <c r="D12" s="96"/>
      <c r="E12" s="96"/>
      <c r="F12" s="96"/>
      <c r="L12" s="96"/>
    </row>
    <row r="13" spans="3:12" ht="15" customHeight="1" hidden="1">
      <c r="C13" s="96"/>
      <c r="D13" s="96"/>
      <c r="E13" s="96"/>
      <c r="F13" s="96"/>
      <c r="J13" s="96"/>
      <c r="K13" s="96"/>
      <c r="L13" s="96"/>
    </row>
    <row r="14" spans="3:12" ht="15" customHeight="1" hidden="1" thickBot="1">
      <c r="C14" s="96"/>
      <c r="D14" s="96"/>
      <c r="E14" s="96"/>
      <c r="F14" s="96"/>
      <c r="G14" s="96"/>
      <c r="H14" s="96"/>
      <c r="I14" s="96"/>
      <c r="J14" s="96"/>
      <c r="K14" s="96"/>
      <c r="L14" s="96"/>
    </row>
    <row r="15" spans="1:17" ht="27.75" customHeight="1" thickBot="1" thickTop="1">
      <c r="A15" s="97" t="s">
        <v>223</v>
      </c>
      <c r="B15" s="97" t="s">
        <v>224</v>
      </c>
      <c r="C15" s="94"/>
      <c r="D15" s="96"/>
      <c r="E15" s="94"/>
      <c r="F15" s="94"/>
      <c r="G15" s="94"/>
      <c r="H15" s="94"/>
      <c r="I15" s="94"/>
      <c r="J15" s="94"/>
      <c r="K15" s="94"/>
      <c r="L15" s="94"/>
      <c r="M15" s="94"/>
      <c r="N15" s="94"/>
      <c r="O15" s="94"/>
      <c r="P15" s="94"/>
      <c r="Q15" s="94"/>
    </row>
    <row r="16" spans="1:17" ht="34.5" customHeight="1" thickBot="1" thickTop="1">
      <c r="A16" s="98">
        <f>'[1]Form 47'!Z44</f>
        <v>43664</v>
      </c>
      <c r="B16" s="99" t="str">
        <f>IF(A16="","",CONCATENATE("(",Q16," rupees only)"))</f>
        <v>(Forty three Thousand Six Hundred and Sixty four rupees only)</v>
      </c>
      <c r="C16" s="100">
        <f>INT(A16/100000)</f>
        <v>0</v>
      </c>
      <c r="D16" s="96">
        <f>INT(A16/1000-C16*100)</f>
        <v>43</v>
      </c>
      <c r="E16" s="96">
        <f>INT(A16/100-C16*1000-D16*10)</f>
        <v>6</v>
      </c>
      <c r="F16" s="96">
        <f>INT(A16-C16*100000-D16*1000-E16*100)</f>
        <v>64</v>
      </c>
      <c r="G16" s="96">
        <f>IF(C16=0,"",LOOKUP(C16,$G$2:$DD$2,$G$3:$DD$3))</f>
      </c>
      <c r="H16" s="96" t="str">
        <f>IF(D16=0,"",LOOKUP(D16,$G$2:$DD$2,$G$3:$DD$3))</f>
        <v>Forty three</v>
      </c>
      <c r="I16" s="96" t="str">
        <f>IF(E16=0,"",LOOKUP(E16,$G$2:$R$2,$G$3:$R$3))</f>
        <v>Six</v>
      </c>
      <c r="J16" s="96" t="str">
        <f>IF(F16=0,"",LOOKUP(F16,$G$2:$DD$2,$G$3:$DD$3))</f>
        <v>Sixty four</v>
      </c>
      <c r="K16" s="96">
        <f>IF(AND(E16=0,F16=0),1,2)</f>
        <v>2</v>
      </c>
      <c r="L16" s="96">
        <f>IF(F16=0,3,4)</f>
        <v>4</v>
      </c>
      <c r="M16" s="96">
        <f>IF(OR(K16=1,L16=3),5,6)</f>
        <v>6</v>
      </c>
      <c r="N16" s="96">
        <f>IF(C16&gt;1," Lakhs ",IF(C16&gt;0," Lakh ",""))</f>
      </c>
      <c r="O16" s="96" t="str">
        <f>IF(D16&gt;0," Thousand ","")</f>
        <v> Thousand </v>
      </c>
      <c r="P16" s="96" t="str">
        <f>IF(E16&gt;0," Hundred ","")</f>
        <v> Hundred </v>
      </c>
      <c r="Q16" s="101" t="str">
        <f>IF(A16=0,"Zero",IF(A16&gt;0,TRIM(CONCATENATE(G16,N16,H16,O16,I16,P16,IF(AND(A16&gt;100,M16=6)," and ",""),J16)),""))</f>
        <v>Forty three Thousand Six Hundred and Sixty four</v>
      </c>
    </row>
    <row r="17" spans="1:17" ht="34.5" customHeight="1" thickBot="1" thickTop="1">
      <c r="A17" s="98">
        <f>A16+1</f>
        <v>43665</v>
      </c>
      <c r="B17" s="99" t="str">
        <f aca="true" t="shared" si="0" ref="B17:B39">IF(A17="","",CONCATENATE("(",Q17," rupees only)"))</f>
        <v>(Forty three Thousand Six Hundred and Sixty five rupees only)</v>
      </c>
      <c r="C17" s="100">
        <f>INT(A17/100000)</f>
        <v>0</v>
      </c>
      <c r="D17" s="96">
        <f>INT(A17/1000-C17*100)</f>
        <v>43</v>
      </c>
      <c r="E17" s="96">
        <f>INT(A17/100-C17*1000-D17*10)</f>
        <v>6</v>
      </c>
      <c r="F17" s="96">
        <f>INT(A17-C17*100000-D17*1000-E17*100)</f>
        <v>65</v>
      </c>
      <c r="G17" s="96">
        <f>IF(C17=0,"",LOOKUP(C17,$G$2:$DD$2,$G$3:$DD$3))</f>
      </c>
      <c r="H17" s="96" t="str">
        <f>IF(D17=0,"",LOOKUP(D17,$G$2:$DD$2,$G$3:$DD$3))</f>
        <v>Forty three</v>
      </c>
      <c r="I17" s="96" t="str">
        <f>IF(E17=0,"",LOOKUP(E17,$G$2:$R$2,$G$3:$R$3))</f>
        <v>Six</v>
      </c>
      <c r="J17" s="96" t="str">
        <f>IF(F17=0,"",LOOKUP(F17,$G$2:$DD$2,$G$3:$DD$3))</f>
        <v>Sixty five</v>
      </c>
      <c r="K17" s="96">
        <f>IF(AND(E17=0,F17=0),1,2)</f>
        <v>2</v>
      </c>
      <c r="L17" s="96">
        <f>IF(F17=0,3,4)</f>
        <v>4</v>
      </c>
      <c r="M17" s="96">
        <f>IF(OR(K17=1,L17=3),5,6)</f>
        <v>6</v>
      </c>
      <c r="N17" s="96">
        <f>IF(C17&gt;1," Lakhs ",IF(C17&gt;0," Lakh ",""))</f>
      </c>
      <c r="O17" s="96" t="str">
        <f>IF(D17&gt;0," Thousand ","")</f>
        <v> Thousand </v>
      </c>
      <c r="P17" s="96" t="str">
        <f>IF(E17&gt;0," Hundred ","")</f>
        <v> Hundred </v>
      </c>
      <c r="Q17" s="101" t="str">
        <f>IF(A17=0,"Zero",IF(A17&gt;0,TRIM(CONCATENATE(G17,N17,H17,O17,I17,P17,IF(AND(A17&gt;100,M17=6)," and ",""),J17)),""))</f>
        <v>Forty three Thousand Six Hundred and Sixty five</v>
      </c>
    </row>
    <row r="18" spans="1:17" ht="34.5" customHeight="1" thickBot="1" thickTop="1">
      <c r="A18" s="102">
        <v>8965</v>
      </c>
      <c r="B18" s="99" t="str">
        <f t="shared" si="0"/>
        <v>(Eight Thousand Nine Hundred and Sixty five rupees only)</v>
      </c>
      <c r="C18" s="100">
        <f aca="true" t="shared" si="1" ref="C18:C39">INT(A18/100000)</f>
        <v>0</v>
      </c>
      <c r="D18" s="96">
        <f aca="true" t="shared" si="2" ref="D18:D39">INT(A18/1000-C18*100)</f>
        <v>8</v>
      </c>
      <c r="E18" s="96">
        <f aca="true" t="shared" si="3" ref="E18:E39">INT(A18/100-C18*1000-D18*10)</f>
        <v>9</v>
      </c>
      <c r="F18" s="96">
        <f aca="true" t="shared" si="4" ref="F18:F39">INT(A18-C18*100000-D18*1000-E18*100)</f>
        <v>65</v>
      </c>
      <c r="G18" s="96">
        <f aca="true" t="shared" si="5" ref="G18:G39">IF(C18=0,"",LOOKUP(C18,$G$2:$DD$2,$G$3:$DD$3))</f>
      </c>
      <c r="H18" s="96" t="str">
        <f aca="true" t="shared" si="6" ref="H18:H39">IF(D18=0,"",LOOKUP(D18,$G$2:$DD$2,$G$3:$DD$3))</f>
        <v>Eight</v>
      </c>
      <c r="I18" s="96" t="str">
        <f aca="true" t="shared" si="7" ref="I18:I39">IF(E18=0,"",LOOKUP(E18,$G$2:$R$2,$G$3:$R$3))</f>
        <v>Nine</v>
      </c>
      <c r="J18" s="96" t="str">
        <f aca="true" t="shared" si="8" ref="J18:J39">IF(F18=0,"",LOOKUP(F18,$G$2:$DD$2,$G$3:$DD$3))</f>
        <v>Sixty five</v>
      </c>
      <c r="K18" s="96">
        <f aca="true" t="shared" si="9" ref="K18:K39">IF(AND(E18=0,F18=0),1,2)</f>
        <v>2</v>
      </c>
      <c r="L18" s="96">
        <f aca="true" t="shared" si="10" ref="L18:L39">IF(F18=0,3,4)</f>
        <v>4</v>
      </c>
      <c r="M18" s="96">
        <f aca="true" t="shared" si="11" ref="M18:M39">IF(OR(K18=1,L18=3),5,6)</f>
        <v>6</v>
      </c>
      <c r="N18" s="96">
        <f aca="true" t="shared" si="12" ref="N18:N39">IF(C18&gt;1," Lakhs ",IF(C18&gt;0," Lakh ",""))</f>
      </c>
      <c r="O18" s="96" t="str">
        <f aca="true" t="shared" si="13" ref="O18:O39">IF(D18&gt;0," Thousand ","")</f>
        <v> Thousand </v>
      </c>
      <c r="P18" s="96" t="str">
        <f aca="true" t="shared" si="14" ref="P18:P39">IF(E18&gt;0," Hundred ","")</f>
        <v> Hundred </v>
      </c>
      <c r="Q18" s="101" t="str">
        <f aca="true" t="shared" si="15" ref="Q18:Q39">IF(A18=0,"Zero",IF(A18&gt;0,TRIM(CONCATENATE(G18,N18,H18,O18,I18,P18,IF(AND(A18&gt;100,M18=6)," and ",""),J18)),""))</f>
        <v>Eight Thousand Nine Hundred and Sixty five</v>
      </c>
    </row>
    <row r="19" spans="1:17" ht="34.5" customHeight="1" thickBot="1" thickTop="1">
      <c r="A19" s="102">
        <v>100</v>
      </c>
      <c r="B19" s="99" t="str">
        <f t="shared" si="0"/>
        <v>(One Hundred rupees only)</v>
      </c>
      <c r="C19" s="100">
        <f t="shared" si="1"/>
        <v>0</v>
      </c>
      <c r="D19" s="96">
        <f t="shared" si="2"/>
        <v>0</v>
      </c>
      <c r="E19" s="96">
        <f t="shared" si="3"/>
        <v>1</v>
      </c>
      <c r="F19" s="96">
        <f t="shared" si="4"/>
        <v>0</v>
      </c>
      <c r="G19" s="96">
        <f t="shared" si="5"/>
      </c>
      <c r="H19" s="96">
        <f t="shared" si="6"/>
      </c>
      <c r="I19" s="96" t="str">
        <f t="shared" si="7"/>
        <v>One</v>
      </c>
      <c r="J19" s="96">
        <f t="shared" si="8"/>
      </c>
      <c r="K19" s="96">
        <f t="shared" si="9"/>
        <v>2</v>
      </c>
      <c r="L19" s="96">
        <f t="shared" si="10"/>
        <v>3</v>
      </c>
      <c r="M19" s="96">
        <f t="shared" si="11"/>
        <v>5</v>
      </c>
      <c r="N19" s="96">
        <f t="shared" si="12"/>
      </c>
      <c r="O19" s="96">
        <f t="shared" si="13"/>
      </c>
      <c r="P19" s="96" t="str">
        <f t="shared" si="14"/>
        <v> Hundred </v>
      </c>
      <c r="Q19" s="101" t="str">
        <f t="shared" si="15"/>
        <v>One Hundred</v>
      </c>
    </row>
    <row r="20" spans="1:17" ht="34.5" customHeight="1" thickBot="1" thickTop="1">
      <c r="A20" s="102">
        <v>10</v>
      </c>
      <c r="B20" s="99" t="str">
        <f t="shared" si="0"/>
        <v>(Ten rupees only)</v>
      </c>
      <c r="C20" s="100">
        <f t="shared" si="1"/>
        <v>0</v>
      </c>
      <c r="D20" s="96">
        <f t="shared" si="2"/>
        <v>0</v>
      </c>
      <c r="E20" s="96">
        <f t="shared" si="3"/>
        <v>0</v>
      </c>
      <c r="F20" s="96">
        <f t="shared" si="4"/>
        <v>10</v>
      </c>
      <c r="G20" s="96">
        <f t="shared" si="5"/>
      </c>
      <c r="H20" s="96">
        <f t="shared" si="6"/>
      </c>
      <c r="I20" s="96">
        <f t="shared" si="7"/>
      </c>
      <c r="J20" s="96" t="str">
        <f t="shared" si="8"/>
        <v>Ten</v>
      </c>
      <c r="K20" s="96">
        <f t="shared" si="9"/>
        <v>2</v>
      </c>
      <c r="L20" s="96">
        <f t="shared" si="10"/>
        <v>4</v>
      </c>
      <c r="M20" s="96">
        <f t="shared" si="11"/>
        <v>6</v>
      </c>
      <c r="N20" s="96">
        <f t="shared" si="12"/>
      </c>
      <c r="O20" s="96">
        <f t="shared" si="13"/>
      </c>
      <c r="P20" s="96">
        <f t="shared" si="14"/>
      </c>
      <c r="Q20" s="101" t="str">
        <f t="shared" si="15"/>
        <v>Ten</v>
      </c>
    </row>
    <row r="21" spans="1:17" ht="34.5" customHeight="1" thickBot="1" thickTop="1">
      <c r="A21" s="102">
        <v>101</v>
      </c>
      <c r="B21" s="99" t="str">
        <f t="shared" si="0"/>
        <v>(One Hundred and One rupees only)</v>
      </c>
      <c r="C21" s="100">
        <f t="shared" si="1"/>
        <v>0</v>
      </c>
      <c r="D21" s="96">
        <f t="shared" si="2"/>
        <v>0</v>
      </c>
      <c r="E21" s="96">
        <f t="shared" si="3"/>
        <v>1</v>
      </c>
      <c r="F21" s="96">
        <f t="shared" si="4"/>
        <v>1</v>
      </c>
      <c r="G21" s="96">
        <f t="shared" si="5"/>
      </c>
      <c r="H21" s="96">
        <f t="shared" si="6"/>
      </c>
      <c r="I21" s="96" t="str">
        <f t="shared" si="7"/>
        <v>One</v>
      </c>
      <c r="J21" s="96" t="str">
        <f t="shared" si="8"/>
        <v>One</v>
      </c>
      <c r="K21" s="96">
        <f t="shared" si="9"/>
        <v>2</v>
      </c>
      <c r="L21" s="96">
        <f t="shared" si="10"/>
        <v>4</v>
      </c>
      <c r="M21" s="96">
        <f t="shared" si="11"/>
        <v>6</v>
      </c>
      <c r="N21" s="96">
        <f t="shared" si="12"/>
      </c>
      <c r="O21" s="96">
        <f t="shared" si="13"/>
      </c>
      <c r="P21" s="96" t="str">
        <f t="shared" si="14"/>
        <v> Hundred </v>
      </c>
      <c r="Q21" s="101" t="str">
        <f t="shared" si="15"/>
        <v>One Hundred and One</v>
      </c>
    </row>
    <row r="22" spans="1:17" ht="34.5" customHeight="1" thickBot="1" thickTop="1">
      <c r="A22" s="98">
        <f>'[1]GPF'!G37</f>
        <v>105615</v>
      </c>
      <c r="B22" s="99" t="str">
        <f t="shared" si="0"/>
        <v>(One Lakh Five Thousand Six Hundred and Fifteen rupees only)</v>
      </c>
      <c r="C22" s="100">
        <f t="shared" si="1"/>
        <v>1</v>
      </c>
      <c r="D22" s="96">
        <f t="shared" si="2"/>
        <v>5</v>
      </c>
      <c r="E22" s="96">
        <f t="shared" si="3"/>
        <v>6</v>
      </c>
      <c r="F22" s="96">
        <f t="shared" si="4"/>
        <v>15</v>
      </c>
      <c r="G22" s="96" t="str">
        <f t="shared" si="5"/>
        <v>One</v>
      </c>
      <c r="H22" s="96" t="str">
        <f t="shared" si="6"/>
        <v>Five</v>
      </c>
      <c r="I22" s="96" t="str">
        <f t="shared" si="7"/>
        <v>Six</v>
      </c>
      <c r="J22" s="96" t="str">
        <f t="shared" si="8"/>
        <v>Fifteen</v>
      </c>
      <c r="K22" s="96">
        <f t="shared" si="9"/>
        <v>2</v>
      </c>
      <c r="L22" s="96">
        <f t="shared" si="10"/>
        <v>4</v>
      </c>
      <c r="M22" s="96">
        <f t="shared" si="11"/>
        <v>6</v>
      </c>
      <c r="N22" s="96" t="str">
        <f t="shared" si="12"/>
        <v> Lakh </v>
      </c>
      <c r="O22" s="96" t="str">
        <f t="shared" si="13"/>
        <v> Thousand </v>
      </c>
      <c r="P22" s="96" t="str">
        <f t="shared" si="14"/>
        <v> Hundred </v>
      </c>
      <c r="Q22" s="101" t="str">
        <f t="shared" si="15"/>
        <v>One Lakh Five Thousand Six Hundred and Fifteen</v>
      </c>
    </row>
    <row r="23" spans="1:17" ht="34.5" customHeight="1" thickBot="1" thickTop="1">
      <c r="A23" s="98">
        <f>'[1]CP'!F33</f>
        <v>50457</v>
      </c>
      <c r="B23" s="99" t="str">
        <f t="shared" si="0"/>
        <v>(Fifty Thousand Four Hundred and Fifty seven rupees only)</v>
      </c>
      <c r="C23" s="100">
        <f t="shared" si="1"/>
        <v>0</v>
      </c>
      <c r="D23" s="96">
        <f t="shared" si="2"/>
        <v>50</v>
      </c>
      <c r="E23" s="96">
        <f t="shared" si="3"/>
        <v>4</v>
      </c>
      <c r="F23" s="96">
        <f t="shared" si="4"/>
        <v>57</v>
      </c>
      <c r="G23" s="96">
        <f t="shared" si="5"/>
      </c>
      <c r="H23" s="96" t="str">
        <f t="shared" si="6"/>
        <v>Fifty</v>
      </c>
      <c r="I23" s="96" t="str">
        <f t="shared" si="7"/>
        <v>Four</v>
      </c>
      <c r="J23" s="96" t="str">
        <f t="shared" si="8"/>
        <v>Fifty seven</v>
      </c>
      <c r="K23" s="96">
        <f t="shared" si="9"/>
        <v>2</v>
      </c>
      <c r="L23" s="96">
        <f t="shared" si="10"/>
        <v>4</v>
      </c>
      <c r="M23" s="96">
        <f t="shared" si="11"/>
        <v>6</v>
      </c>
      <c r="N23" s="96">
        <f t="shared" si="12"/>
      </c>
      <c r="O23" s="96" t="str">
        <f t="shared" si="13"/>
        <v> Thousand </v>
      </c>
      <c r="P23" s="96" t="str">
        <f t="shared" si="14"/>
        <v> Hundred </v>
      </c>
      <c r="Q23" s="101" t="str">
        <f t="shared" si="15"/>
        <v>Fifty Thousand Four Hundred and Fifty seven</v>
      </c>
    </row>
    <row r="24" spans="1:17" ht="34.5" customHeight="1" thickBot="1" thickTop="1">
      <c r="A24" s="102" t="str">
        <f>'47 In'!J30</f>
        <v>320020.00</v>
      </c>
      <c r="B24" s="99" t="str">
        <f t="shared" si="0"/>
        <v>(Three Lakhs Twenty Thousand and Twenty rupees only)</v>
      </c>
      <c r="C24" s="100">
        <f t="shared" si="1"/>
        <v>3</v>
      </c>
      <c r="D24" s="96">
        <f t="shared" si="2"/>
        <v>20</v>
      </c>
      <c r="E24" s="96">
        <f t="shared" si="3"/>
        <v>0</v>
      </c>
      <c r="F24" s="96">
        <f t="shared" si="4"/>
        <v>20</v>
      </c>
      <c r="G24" s="96" t="str">
        <f t="shared" si="5"/>
        <v>Three</v>
      </c>
      <c r="H24" s="96" t="str">
        <f t="shared" si="6"/>
        <v>Twenty</v>
      </c>
      <c r="I24" s="96">
        <f t="shared" si="7"/>
      </c>
      <c r="J24" s="96" t="str">
        <f t="shared" si="8"/>
        <v>Twenty</v>
      </c>
      <c r="K24" s="96">
        <f t="shared" si="9"/>
        <v>2</v>
      </c>
      <c r="L24" s="96">
        <f t="shared" si="10"/>
        <v>4</v>
      </c>
      <c r="M24" s="96">
        <f t="shared" si="11"/>
        <v>6</v>
      </c>
      <c r="N24" s="96" t="str">
        <f t="shared" si="12"/>
        <v> Lakhs </v>
      </c>
      <c r="O24" s="96" t="str">
        <f t="shared" si="13"/>
        <v> Thousand </v>
      </c>
      <c r="P24" s="96">
        <f t="shared" si="14"/>
      </c>
      <c r="Q24" s="101" t="str">
        <f t="shared" si="15"/>
        <v>Three Lakhs Twenty Thousand and Twenty</v>
      </c>
    </row>
    <row r="25" spans="1:17" ht="34.5" customHeight="1" thickBot="1" thickTop="1">
      <c r="A25" s="102">
        <f>A24+1</f>
        <v>320021</v>
      </c>
      <c r="B25" s="99" t="str">
        <f t="shared" si="0"/>
        <v>(Three Lakhs Twenty Thousand and Twenty one rupees only)</v>
      </c>
      <c r="C25" s="100">
        <f t="shared" si="1"/>
        <v>3</v>
      </c>
      <c r="D25" s="96">
        <f t="shared" si="2"/>
        <v>20</v>
      </c>
      <c r="E25" s="96">
        <f t="shared" si="3"/>
        <v>0</v>
      </c>
      <c r="F25" s="96">
        <f t="shared" si="4"/>
        <v>21</v>
      </c>
      <c r="G25" s="96" t="str">
        <f t="shared" si="5"/>
        <v>Three</v>
      </c>
      <c r="H25" s="96" t="str">
        <f t="shared" si="6"/>
        <v>Twenty</v>
      </c>
      <c r="I25" s="96">
        <f t="shared" si="7"/>
      </c>
      <c r="J25" s="96" t="str">
        <f t="shared" si="8"/>
        <v>Twenty one</v>
      </c>
      <c r="K25" s="96">
        <f t="shared" si="9"/>
        <v>2</v>
      </c>
      <c r="L25" s="96">
        <f t="shared" si="10"/>
        <v>4</v>
      </c>
      <c r="M25" s="96">
        <f t="shared" si="11"/>
        <v>6</v>
      </c>
      <c r="N25" s="96" t="str">
        <f t="shared" si="12"/>
        <v> Lakhs </v>
      </c>
      <c r="O25" s="96" t="str">
        <f t="shared" si="13"/>
        <v> Thousand </v>
      </c>
      <c r="P25" s="96">
        <f t="shared" si="14"/>
      </c>
      <c r="Q25" s="101" t="str">
        <f t="shared" si="15"/>
        <v>Three Lakhs Twenty Thousand and Twenty one</v>
      </c>
    </row>
    <row r="26" spans="1:17" ht="34.5" customHeight="1" thickBot="1" thickTop="1">
      <c r="A26" s="102"/>
      <c r="B26" s="99">
        <f t="shared" si="0"/>
      </c>
      <c r="C26" s="100">
        <f t="shared" si="1"/>
        <v>0</v>
      </c>
      <c r="D26" s="96">
        <f t="shared" si="2"/>
        <v>0</v>
      </c>
      <c r="E26" s="96">
        <f t="shared" si="3"/>
        <v>0</v>
      </c>
      <c r="F26" s="96">
        <f t="shared" si="4"/>
        <v>0</v>
      </c>
      <c r="G26" s="96">
        <f t="shared" si="5"/>
      </c>
      <c r="H26" s="96">
        <f t="shared" si="6"/>
      </c>
      <c r="I26" s="96">
        <f t="shared" si="7"/>
      </c>
      <c r="J26" s="96">
        <f t="shared" si="8"/>
      </c>
      <c r="K26" s="96">
        <f t="shared" si="9"/>
        <v>1</v>
      </c>
      <c r="L26" s="96">
        <f t="shared" si="10"/>
        <v>3</v>
      </c>
      <c r="M26" s="96">
        <f t="shared" si="11"/>
        <v>5</v>
      </c>
      <c r="N26" s="96">
        <f t="shared" si="12"/>
      </c>
      <c r="O26" s="96">
        <f t="shared" si="13"/>
      </c>
      <c r="P26" s="96">
        <f t="shared" si="14"/>
      </c>
      <c r="Q26" s="101" t="str">
        <f t="shared" si="15"/>
        <v>Zero</v>
      </c>
    </row>
    <row r="27" spans="1:17" ht="34.5" customHeight="1" thickBot="1" thickTop="1">
      <c r="A27" s="102"/>
      <c r="B27" s="99">
        <f t="shared" si="0"/>
      </c>
      <c r="C27" s="100">
        <f t="shared" si="1"/>
        <v>0</v>
      </c>
      <c r="D27" s="96">
        <f t="shared" si="2"/>
        <v>0</v>
      </c>
      <c r="E27" s="96">
        <f t="shared" si="3"/>
        <v>0</v>
      </c>
      <c r="F27" s="96">
        <f t="shared" si="4"/>
        <v>0</v>
      </c>
      <c r="G27" s="96">
        <f t="shared" si="5"/>
      </c>
      <c r="H27" s="96">
        <f t="shared" si="6"/>
      </c>
      <c r="I27" s="96">
        <f t="shared" si="7"/>
      </c>
      <c r="J27" s="96">
        <f t="shared" si="8"/>
      </c>
      <c r="K27" s="96">
        <f t="shared" si="9"/>
        <v>1</v>
      </c>
      <c r="L27" s="96">
        <f t="shared" si="10"/>
        <v>3</v>
      </c>
      <c r="M27" s="96">
        <f t="shared" si="11"/>
        <v>5</v>
      </c>
      <c r="N27" s="96">
        <f t="shared" si="12"/>
      </c>
      <c r="O27" s="96">
        <f t="shared" si="13"/>
      </c>
      <c r="P27" s="96">
        <f t="shared" si="14"/>
      </c>
      <c r="Q27" s="101" t="str">
        <f t="shared" si="15"/>
        <v>Zero</v>
      </c>
    </row>
    <row r="28" spans="1:17" ht="34.5" customHeight="1" thickBot="1" thickTop="1">
      <c r="A28" s="102"/>
      <c r="B28" s="99">
        <f t="shared" si="0"/>
      </c>
      <c r="C28" s="100">
        <f t="shared" si="1"/>
        <v>0</v>
      </c>
      <c r="D28" s="96">
        <f t="shared" si="2"/>
        <v>0</v>
      </c>
      <c r="E28" s="96">
        <f t="shared" si="3"/>
        <v>0</v>
      </c>
      <c r="F28" s="96">
        <f t="shared" si="4"/>
        <v>0</v>
      </c>
      <c r="G28" s="96">
        <f t="shared" si="5"/>
      </c>
      <c r="H28" s="96">
        <f t="shared" si="6"/>
      </c>
      <c r="I28" s="96">
        <f t="shared" si="7"/>
      </c>
      <c r="J28" s="96">
        <f t="shared" si="8"/>
      </c>
      <c r="K28" s="96">
        <f t="shared" si="9"/>
        <v>1</v>
      </c>
      <c r="L28" s="96">
        <f t="shared" si="10"/>
        <v>3</v>
      </c>
      <c r="M28" s="96">
        <f t="shared" si="11"/>
        <v>5</v>
      </c>
      <c r="N28" s="96">
        <f t="shared" si="12"/>
      </c>
      <c r="O28" s="96">
        <f t="shared" si="13"/>
      </c>
      <c r="P28" s="96">
        <f t="shared" si="14"/>
      </c>
      <c r="Q28" s="101" t="str">
        <f t="shared" si="15"/>
        <v>Zero</v>
      </c>
    </row>
    <row r="29" spans="1:17" ht="34.5" customHeight="1" thickBot="1" thickTop="1">
      <c r="A29" s="102"/>
      <c r="B29" s="99">
        <f t="shared" si="0"/>
      </c>
      <c r="C29" s="100">
        <f t="shared" si="1"/>
        <v>0</v>
      </c>
      <c r="D29" s="96">
        <f t="shared" si="2"/>
        <v>0</v>
      </c>
      <c r="E29" s="96">
        <f t="shared" si="3"/>
        <v>0</v>
      </c>
      <c r="F29" s="96">
        <f t="shared" si="4"/>
        <v>0</v>
      </c>
      <c r="G29" s="96">
        <f t="shared" si="5"/>
      </c>
      <c r="H29" s="96">
        <f t="shared" si="6"/>
      </c>
      <c r="I29" s="96">
        <f t="shared" si="7"/>
      </c>
      <c r="J29" s="96">
        <f t="shared" si="8"/>
      </c>
      <c r="K29" s="96">
        <f t="shared" si="9"/>
        <v>1</v>
      </c>
      <c r="L29" s="96">
        <f t="shared" si="10"/>
        <v>3</v>
      </c>
      <c r="M29" s="96">
        <f t="shared" si="11"/>
        <v>5</v>
      </c>
      <c r="N29" s="96">
        <f t="shared" si="12"/>
      </c>
      <c r="O29" s="96">
        <f t="shared" si="13"/>
      </c>
      <c r="P29" s="96">
        <f t="shared" si="14"/>
      </c>
      <c r="Q29" s="101" t="str">
        <f t="shared" si="15"/>
        <v>Zero</v>
      </c>
    </row>
    <row r="30" spans="1:17" ht="34.5" customHeight="1" thickBot="1" thickTop="1">
      <c r="A30" s="102"/>
      <c r="B30" s="99">
        <f t="shared" si="0"/>
      </c>
      <c r="C30" s="100">
        <f t="shared" si="1"/>
        <v>0</v>
      </c>
      <c r="D30" s="96">
        <f t="shared" si="2"/>
        <v>0</v>
      </c>
      <c r="E30" s="96">
        <f t="shared" si="3"/>
        <v>0</v>
      </c>
      <c r="F30" s="96">
        <f t="shared" si="4"/>
        <v>0</v>
      </c>
      <c r="G30" s="96">
        <f t="shared" si="5"/>
      </c>
      <c r="H30" s="96">
        <f t="shared" si="6"/>
      </c>
      <c r="I30" s="96">
        <f t="shared" si="7"/>
      </c>
      <c r="J30" s="96">
        <f t="shared" si="8"/>
      </c>
      <c r="K30" s="96">
        <f t="shared" si="9"/>
        <v>1</v>
      </c>
      <c r="L30" s="96">
        <f t="shared" si="10"/>
        <v>3</v>
      </c>
      <c r="M30" s="96">
        <f t="shared" si="11"/>
        <v>5</v>
      </c>
      <c r="N30" s="96">
        <f t="shared" si="12"/>
      </c>
      <c r="O30" s="96">
        <f t="shared" si="13"/>
      </c>
      <c r="P30" s="96">
        <f t="shared" si="14"/>
      </c>
      <c r="Q30" s="101" t="str">
        <f t="shared" si="15"/>
        <v>Zero</v>
      </c>
    </row>
    <row r="31" spans="1:17" ht="34.5" customHeight="1" thickBot="1" thickTop="1">
      <c r="A31" s="102"/>
      <c r="B31" s="99">
        <f t="shared" si="0"/>
      </c>
      <c r="C31" s="100">
        <f t="shared" si="1"/>
        <v>0</v>
      </c>
      <c r="D31" s="96">
        <f t="shared" si="2"/>
        <v>0</v>
      </c>
      <c r="E31" s="96">
        <f t="shared" si="3"/>
        <v>0</v>
      </c>
      <c r="F31" s="96">
        <f t="shared" si="4"/>
        <v>0</v>
      </c>
      <c r="G31" s="96">
        <f t="shared" si="5"/>
      </c>
      <c r="H31" s="96">
        <f t="shared" si="6"/>
      </c>
      <c r="I31" s="96">
        <f t="shared" si="7"/>
      </c>
      <c r="J31" s="96">
        <f t="shared" si="8"/>
      </c>
      <c r="K31" s="96">
        <f t="shared" si="9"/>
        <v>1</v>
      </c>
      <c r="L31" s="96">
        <f t="shared" si="10"/>
        <v>3</v>
      </c>
      <c r="M31" s="96">
        <f t="shared" si="11"/>
        <v>5</v>
      </c>
      <c r="N31" s="96">
        <f t="shared" si="12"/>
      </c>
      <c r="O31" s="96">
        <f t="shared" si="13"/>
      </c>
      <c r="P31" s="96">
        <f t="shared" si="14"/>
      </c>
      <c r="Q31" s="101" t="str">
        <f t="shared" si="15"/>
        <v>Zero</v>
      </c>
    </row>
    <row r="32" spans="1:17" ht="34.5" customHeight="1" thickBot="1" thickTop="1">
      <c r="A32" s="102"/>
      <c r="B32" s="99">
        <f t="shared" si="0"/>
      </c>
      <c r="C32" s="100">
        <f t="shared" si="1"/>
        <v>0</v>
      </c>
      <c r="D32" s="96">
        <f t="shared" si="2"/>
        <v>0</v>
      </c>
      <c r="E32" s="96">
        <f t="shared" si="3"/>
        <v>0</v>
      </c>
      <c r="F32" s="96">
        <f t="shared" si="4"/>
        <v>0</v>
      </c>
      <c r="G32" s="96">
        <f t="shared" si="5"/>
      </c>
      <c r="H32" s="96">
        <f t="shared" si="6"/>
      </c>
      <c r="I32" s="96">
        <f t="shared" si="7"/>
      </c>
      <c r="J32" s="96">
        <f t="shared" si="8"/>
      </c>
      <c r="K32" s="96">
        <f t="shared" si="9"/>
        <v>1</v>
      </c>
      <c r="L32" s="96">
        <f t="shared" si="10"/>
        <v>3</v>
      </c>
      <c r="M32" s="96">
        <f t="shared" si="11"/>
        <v>5</v>
      </c>
      <c r="N32" s="96">
        <f t="shared" si="12"/>
      </c>
      <c r="O32" s="96">
        <f t="shared" si="13"/>
      </c>
      <c r="P32" s="96">
        <f t="shared" si="14"/>
      </c>
      <c r="Q32" s="101" t="str">
        <f t="shared" si="15"/>
        <v>Zero</v>
      </c>
    </row>
    <row r="33" spans="1:17" ht="34.5" customHeight="1" thickBot="1" thickTop="1">
      <c r="A33" s="102"/>
      <c r="B33" s="99">
        <f t="shared" si="0"/>
      </c>
      <c r="C33" s="100">
        <f t="shared" si="1"/>
        <v>0</v>
      </c>
      <c r="D33" s="96">
        <f t="shared" si="2"/>
        <v>0</v>
      </c>
      <c r="E33" s="96">
        <f t="shared" si="3"/>
        <v>0</v>
      </c>
      <c r="F33" s="96">
        <f t="shared" si="4"/>
        <v>0</v>
      </c>
      <c r="G33" s="96">
        <f t="shared" si="5"/>
      </c>
      <c r="H33" s="96">
        <f t="shared" si="6"/>
      </c>
      <c r="I33" s="96">
        <f t="shared" si="7"/>
      </c>
      <c r="J33" s="96">
        <f t="shared" si="8"/>
      </c>
      <c r="K33" s="96">
        <f t="shared" si="9"/>
        <v>1</v>
      </c>
      <c r="L33" s="96">
        <f t="shared" si="10"/>
        <v>3</v>
      </c>
      <c r="M33" s="96">
        <f t="shared" si="11"/>
        <v>5</v>
      </c>
      <c r="N33" s="96">
        <f t="shared" si="12"/>
      </c>
      <c r="O33" s="96">
        <f t="shared" si="13"/>
      </c>
      <c r="P33" s="96">
        <f t="shared" si="14"/>
      </c>
      <c r="Q33" s="101" t="str">
        <f t="shared" si="15"/>
        <v>Zero</v>
      </c>
    </row>
    <row r="34" spans="1:17" ht="34.5" customHeight="1" thickBot="1" thickTop="1">
      <c r="A34" s="102"/>
      <c r="B34" s="99">
        <f t="shared" si="0"/>
      </c>
      <c r="C34" s="100">
        <f t="shared" si="1"/>
        <v>0</v>
      </c>
      <c r="D34" s="96">
        <f t="shared" si="2"/>
        <v>0</v>
      </c>
      <c r="E34" s="96">
        <f t="shared" si="3"/>
        <v>0</v>
      </c>
      <c r="F34" s="96">
        <f t="shared" si="4"/>
        <v>0</v>
      </c>
      <c r="G34" s="96">
        <f t="shared" si="5"/>
      </c>
      <c r="H34" s="96">
        <f t="shared" si="6"/>
      </c>
      <c r="I34" s="96">
        <f t="shared" si="7"/>
      </c>
      <c r="J34" s="96">
        <f t="shared" si="8"/>
      </c>
      <c r="K34" s="96">
        <f t="shared" si="9"/>
        <v>1</v>
      </c>
      <c r="L34" s="96">
        <f t="shared" si="10"/>
        <v>3</v>
      </c>
      <c r="M34" s="96">
        <f t="shared" si="11"/>
        <v>5</v>
      </c>
      <c r="N34" s="96">
        <f t="shared" si="12"/>
      </c>
      <c r="O34" s="96">
        <f t="shared" si="13"/>
      </c>
      <c r="P34" s="96">
        <f t="shared" si="14"/>
      </c>
      <c r="Q34" s="101" t="str">
        <f t="shared" si="15"/>
        <v>Zero</v>
      </c>
    </row>
    <row r="35" spans="1:17" ht="34.5" customHeight="1" thickBot="1" thickTop="1">
      <c r="A35" s="102"/>
      <c r="B35" s="99">
        <f t="shared" si="0"/>
      </c>
      <c r="C35" s="100">
        <f t="shared" si="1"/>
        <v>0</v>
      </c>
      <c r="D35" s="96">
        <f t="shared" si="2"/>
        <v>0</v>
      </c>
      <c r="E35" s="96">
        <f t="shared" si="3"/>
        <v>0</v>
      </c>
      <c r="F35" s="96">
        <f t="shared" si="4"/>
        <v>0</v>
      </c>
      <c r="G35" s="96">
        <f t="shared" si="5"/>
      </c>
      <c r="H35" s="96">
        <f t="shared" si="6"/>
      </c>
      <c r="I35" s="96">
        <f t="shared" si="7"/>
      </c>
      <c r="J35" s="96">
        <f t="shared" si="8"/>
      </c>
      <c r="K35" s="96">
        <f t="shared" si="9"/>
        <v>1</v>
      </c>
      <c r="L35" s="96">
        <f t="shared" si="10"/>
        <v>3</v>
      </c>
      <c r="M35" s="96">
        <f t="shared" si="11"/>
        <v>5</v>
      </c>
      <c r="N35" s="96">
        <f t="shared" si="12"/>
      </c>
      <c r="O35" s="96">
        <f t="shared" si="13"/>
      </c>
      <c r="P35" s="96">
        <f t="shared" si="14"/>
      </c>
      <c r="Q35" s="101" t="str">
        <f t="shared" si="15"/>
        <v>Zero</v>
      </c>
    </row>
    <row r="36" spans="1:17" ht="34.5" customHeight="1" thickBot="1" thickTop="1">
      <c r="A36" s="102"/>
      <c r="B36" s="99">
        <f t="shared" si="0"/>
      </c>
      <c r="C36" s="100">
        <f t="shared" si="1"/>
        <v>0</v>
      </c>
      <c r="D36" s="96">
        <f t="shared" si="2"/>
        <v>0</v>
      </c>
      <c r="E36" s="96">
        <f t="shared" si="3"/>
        <v>0</v>
      </c>
      <c r="F36" s="96">
        <f t="shared" si="4"/>
        <v>0</v>
      </c>
      <c r="G36" s="96">
        <f t="shared" si="5"/>
      </c>
      <c r="H36" s="96">
        <f t="shared" si="6"/>
      </c>
      <c r="I36" s="96">
        <f t="shared" si="7"/>
      </c>
      <c r="J36" s="96">
        <f t="shared" si="8"/>
      </c>
      <c r="K36" s="96">
        <f t="shared" si="9"/>
        <v>1</v>
      </c>
      <c r="L36" s="96">
        <f t="shared" si="10"/>
        <v>3</v>
      </c>
      <c r="M36" s="96">
        <f t="shared" si="11"/>
        <v>5</v>
      </c>
      <c r="N36" s="96">
        <f t="shared" si="12"/>
      </c>
      <c r="O36" s="96">
        <f t="shared" si="13"/>
      </c>
      <c r="P36" s="96">
        <f t="shared" si="14"/>
      </c>
      <c r="Q36" s="101" t="str">
        <f t="shared" si="15"/>
        <v>Zero</v>
      </c>
    </row>
    <row r="37" spans="1:17" ht="34.5" customHeight="1" thickBot="1" thickTop="1">
      <c r="A37" s="102"/>
      <c r="B37" s="99">
        <f t="shared" si="0"/>
      </c>
      <c r="C37" s="100">
        <f t="shared" si="1"/>
        <v>0</v>
      </c>
      <c r="D37" s="96">
        <f t="shared" si="2"/>
        <v>0</v>
      </c>
      <c r="E37" s="96">
        <f t="shared" si="3"/>
        <v>0</v>
      </c>
      <c r="F37" s="96">
        <f t="shared" si="4"/>
        <v>0</v>
      </c>
      <c r="G37" s="96">
        <f t="shared" si="5"/>
      </c>
      <c r="H37" s="96">
        <f t="shared" si="6"/>
      </c>
      <c r="I37" s="96">
        <f t="shared" si="7"/>
      </c>
      <c r="J37" s="96">
        <f t="shared" si="8"/>
      </c>
      <c r="K37" s="96">
        <f t="shared" si="9"/>
        <v>1</v>
      </c>
      <c r="L37" s="96">
        <f t="shared" si="10"/>
        <v>3</v>
      </c>
      <c r="M37" s="96">
        <f t="shared" si="11"/>
        <v>5</v>
      </c>
      <c r="N37" s="96">
        <f t="shared" si="12"/>
      </c>
      <c r="O37" s="96">
        <f t="shared" si="13"/>
      </c>
      <c r="P37" s="96">
        <f t="shared" si="14"/>
      </c>
      <c r="Q37" s="101" t="str">
        <f t="shared" si="15"/>
        <v>Zero</v>
      </c>
    </row>
    <row r="38" spans="1:17" ht="34.5" customHeight="1" thickBot="1" thickTop="1">
      <c r="A38" s="102"/>
      <c r="B38" s="99">
        <f t="shared" si="0"/>
      </c>
      <c r="C38" s="100">
        <f t="shared" si="1"/>
        <v>0</v>
      </c>
      <c r="D38" s="96">
        <f t="shared" si="2"/>
        <v>0</v>
      </c>
      <c r="E38" s="96">
        <f t="shared" si="3"/>
        <v>0</v>
      </c>
      <c r="F38" s="96">
        <f t="shared" si="4"/>
        <v>0</v>
      </c>
      <c r="G38" s="96">
        <f t="shared" si="5"/>
      </c>
      <c r="H38" s="96">
        <f t="shared" si="6"/>
      </c>
      <c r="I38" s="96">
        <f t="shared" si="7"/>
      </c>
      <c r="J38" s="96">
        <f t="shared" si="8"/>
      </c>
      <c r="K38" s="96">
        <f t="shared" si="9"/>
        <v>1</v>
      </c>
      <c r="L38" s="96">
        <f t="shared" si="10"/>
        <v>3</v>
      </c>
      <c r="M38" s="96">
        <f t="shared" si="11"/>
        <v>5</v>
      </c>
      <c r="N38" s="96">
        <f t="shared" si="12"/>
      </c>
      <c r="O38" s="96">
        <f t="shared" si="13"/>
      </c>
      <c r="P38" s="96">
        <f t="shared" si="14"/>
      </c>
      <c r="Q38" s="101" t="str">
        <f t="shared" si="15"/>
        <v>Zero</v>
      </c>
    </row>
    <row r="39" spans="1:17" ht="34.5" customHeight="1" thickBot="1" thickTop="1">
      <c r="A39" s="102">
        <v>856953</v>
      </c>
      <c r="B39" s="99" t="str">
        <f t="shared" si="0"/>
        <v>(Eight Lakhs Fifty six Thousand Nine Hundred and Fifty three rupees only)</v>
      </c>
      <c r="C39" s="100">
        <f t="shared" si="1"/>
        <v>8</v>
      </c>
      <c r="D39" s="96">
        <f t="shared" si="2"/>
        <v>56</v>
      </c>
      <c r="E39" s="96">
        <f t="shared" si="3"/>
        <v>9</v>
      </c>
      <c r="F39" s="96">
        <f t="shared" si="4"/>
        <v>53</v>
      </c>
      <c r="G39" s="96" t="str">
        <f t="shared" si="5"/>
        <v>Eight</v>
      </c>
      <c r="H39" s="96" t="str">
        <f t="shared" si="6"/>
        <v>Fifty six</v>
      </c>
      <c r="I39" s="96" t="str">
        <f t="shared" si="7"/>
        <v>Nine</v>
      </c>
      <c r="J39" s="96" t="str">
        <f t="shared" si="8"/>
        <v>Fifty three</v>
      </c>
      <c r="K39" s="96">
        <f t="shared" si="9"/>
        <v>2</v>
      </c>
      <c r="L39" s="96">
        <f t="shared" si="10"/>
        <v>4</v>
      </c>
      <c r="M39" s="96">
        <f t="shared" si="11"/>
        <v>6</v>
      </c>
      <c r="N39" s="96" t="str">
        <f t="shared" si="12"/>
        <v> Lakhs </v>
      </c>
      <c r="O39" s="96" t="str">
        <f t="shared" si="13"/>
        <v> Thousand </v>
      </c>
      <c r="P39" s="96" t="str">
        <f t="shared" si="14"/>
        <v> Hundred </v>
      </c>
      <c r="Q39" s="101" t="str">
        <f t="shared" si="15"/>
        <v>Eight Lakhs Fifty six Thousand Nine Hundred and Fifty three</v>
      </c>
    </row>
    <row r="40" ht="12" customHeight="1" thickTop="1"/>
  </sheetData>
  <sheetProtection formatCells="0" formatColumns="0" formatRows="0" insertColumns="0" insertRows="0" insertHyperlinks="0" deleteColumns="0" deleteRows="0" sort="0" autoFilter="0" pivotTables="0"/>
  <protectedRanges>
    <protectedRange sqref="A16:A39" name="Range1"/>
  </protectedRanges>
  <mergeCells count="4">
    <mergeCell ref="R6:S6"/>
    <mergeCell ref="R7:S7"/>
    <mergeCell ref="R8:S8"/>
    <mergeCell ref="R9:S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41"/>
  <sheetViews>
    <sheetView showGridLines="0" zoomScaleSheetLayoutView="100" zoomScalePageLayoutView="0" workbookViewId="0" topLeftCell="A19">
      <selection activeCell="H3" sqref="H3:H12"/>
    </sheetView>
  </sheetViews>
  <sheetFormatPr defaultColWidth="9.140625" defaultRowHeight="12.75"/>
  <cols>
    <col min="1" max="1" width="5.57421875" style="81" customWidth="1"/>
    <col min="2" max="2" width="9.140625" style="81" hidden="1" customWidth="1"/>
    <col min="3" max="3" width="21.421875" style="81" customWidth="1"/>
    <col min="4" max="4" width="11.57421875" style="81" customWidth="1"/>
    <col min="5" max="5" width="13.140625" style="81" customWidth="1"/>
    <col min="6" max="6" width="14.57421875" style="81" customWidth="1"/>
    <col min="7" max="7" width="13.57421875" style="81" customWidth="1"/>
    <col min="8" max="8" width="9.8515625" style="81" customWidth="1"/>
    <col min="9" max="9" width="9.421875" style="81" customWidth="1"/>
    <col min="10" max="10" width="14.7109375" style="81" customWidth="1"/>
    <col min="11" max="11" width="11.140625" style="81" customWidth="1"/>
    <col min="12" max="13" width="11.57421875" style="81" bestFit="1" customWidth="1"/>
    <col min="14" max="14" width="9.140625" style="81" customWidth="1"/>
    <col min="15" max="15" width="1.28515625" style="81" customWidth="1"/>
    <col min="16" max="16384" width="9.140625" style="81" customWidth="1"/>
  </cols>
  <sheetData>
    <row r="1" spans="1:15" ht="25.5" customHeight="1">
      <c r="A1" s="344" t="str">
        <f>CONCATENATE("Encashment of Earned Leave Salary for ","",Data!D9)</f>
        <v>Encashment of Earned Leave Salary for 300</v>
      </c>
      <c r="B1" s="345"/>
      <c r="C1" s="345"/>
      <c r="D1" s="345"/>
      <c r="E1" s="345"/>
      <c r="F1" s="345"/>
      <c r="G1" s="345"/>
      <c r="H1" s="345"/>
      <c r="I1" s="345"/>
      <c r="J1" s="345"/>
      <c r="K1" s="345"/>
      <c r="L1" s="345"/>
      <c r="M1" s="345"/>
      <c r="N1" s="345"/>
      <c r="O1" s="145"/>
    </row>
    <row r="2" spans="1:15" ht="22.5" customHeight="1">
      <c r="A2" s="146" t="s">
        <v>112</v>
      </c>
      <c r="B2" s="83"/>
      <c r="C2" s="84" t="s">
        <v>113</v>
      </c>
      <c r="D2" s="87" t="s">
        <v>114</v>
      </c>
      <c r="E2" s="87" t="s">
        <v>108</v>
      </c>
      <c r="F2" s="87" t="s">
        <v>107</v>
      </c>
      <c r="G2" s="87" t="s">
        <v>341</v>
      </c>
      <c r="H2" s="87" t="s">
        <v>343</v>
      </c>
      <c r="I2" s="87" t="s">
        <v>345</v>
      </c>
      <c r="J2" s="87" t="s">
        <v>342</v>
      </c>
      <c r="K2" s="354" t="s">
        <v>226</v>
      </c>
      <c r="L2" s="354"/>
      <c r="M2" s="354"/>
      <c r="N2" s="354"/>
      <c r="O2" s="355"/>
    </row>
    <row r="3" spans="1:15" ht="12.75" customHeight="1">
      <c r="A3" s="147">
        <v>1</v>
      </c>
      <c r="B3" s="85"/>
      <c r="C3" s="108" t="str">
        <f>CONCATENATE(Sheet1!L113," ",Data!E4,",",Data!D5,"Retired")</f>
        <v>Sri R.Ramesh,Retired</v>
      </c>
      <c r="D3" s="87">
        <f>Sheet1!K44</f>
        <v>21250</v>
      </c>
      <c r="E3" s="87">
        <f>Sheet1!M44</f>
        <v>4250</v>
      </c>
      <c r="F3" s="87">
        <f>Sheet1!L44</f>
        <v>6367</v>
      </c>
      <c r="G3" s="87">
        <f>Sheet1!J44</f>
        <v>30</v>
      </c>
      <c r="H3" s="87">
        <f>Sheet1!N44</f>
        <v>45</v>
      </c>
      <c r="I3" s="87">
        <f>Sheet1!O44</f>
        <v>90</v>
      </c>
      <c r="J3" s="87">
        <f>Sheet1!Q44</f>
        <v>32002</v>
      </c>
      <c r="K3" s="356" t="str">
        <f>CONCATENATE("The Incumebent has been Sanctioned"," ",Data!D9,"encashment of Earned Leave and"," ",H26," ","days","of HPL has been Sanctioned vide"," ",Sheet1!F84," ",Data!D14," ","Proc.No",Data!D15," ","Dt")</f>
        <v>The Incumebent has been Sanctioned 300encashment of Earned Leave and 0 daysof HPL has been Sanctioned vide Mandal Educational Officer M.P.Tekmal Proc.NoA2/12/2011 Dt</v>
      </c>
      <c r="L3" s="357"/>
      <c r="M3" s="357"/>
      <c r="N3" s="357"/>
      <c r="O3" s="358"/>
    </row>
    <row r="4" spans="1:15" ht="12.75" customHeight="1">
      <c r="A4" s="147"/>
      <c r="B4" s="85"/>
      <c r="D4" s="87">
        <f>Sheet1!K45</f>
        <v>21250</v>
      </c>
      <c r="E4" s="87">
        <f>Sheet1!M45</f>
        <v>4250</v>
      </c>
      <c r="F4" s="87">
        <f>Sheet1!L45</f>
        <v>6367</v>
      </c>
      <c r="G4" s="87">
        <f>Sheet1!J45</f>
        <v>30</v>
      </c>
      <c r="H4" s="87">
        <f>Sheet1!N45</f>
        <v>45</v>
      </c>
      <c r="I4" s="87">
        <f>Sheet1!O45</f>
        <v>90</v>
      </c>
      <c r="J4" s="87">
        <f>Sheet1!Q45</f>
        <v>32002</v>
      </c>
      <c r="K4" s="359"/>
      <c r="L4" s="360"/>
      <c r="M4" s="360"/>
      <c r="N4" s="360"/>
      <c r="O4" s="361"/>
    </row>
    <row r="5" spans="1:15" ht="12.75" customHeight="1">
      <c r="A5" s="147"/>
      <c r="B5" s="85"/>
      <c r="C5" s="129" t="str">
        <f>CONCATENATE("Mandal"," ",Data!D7)</f>
        <v>Mandal Tekmal</v>
      </c>
      <c r="D5" s="87">
        <f>Sheet1!K46</f>
        <v>21250</v>
      </c>
      <c r="E5" s="87">
        <f>Sheet1!M46</f>
        <v>4250</v>
      </c>
      <c r="F5" s="87">
        <f>Sheet1!L46</f>
        <v>6367</v>
      </c>
      <c r="G5" s="87">
        <f>Sheet1!J46</f>
        <v>30</v>
      </c>
      <c r="H5" s="87">
        <f>Sheet1!N46</f>
        <v>45</v>
      </c>
      <c r="I5" s="87">
        <f>Sheet1!O46</f>
        <v>90</v>
      </c>
      <c r="J5" s="87">
        <f>Sheet1!Q46</f>
        <v>32002</v>
      </c>
      <c r="K5" s="359"/>
      <c r="L5" s="360"/>
      <c r="M5" s="360"/>
      <c r="N5" s="360"/>
      <c r="O5" s="361"/>
    </row>
    <row r="6" spans="1:15" ht="12.75" customHeight="1">
      <c r="A6" s="147"/>
      <c r="B6" s="85"/>
      <c r="C6" s="108"/>
      <c r="D6" s="87">
        <f>Sheet1!K47</f>
        <v>21250</v>
      </c>
      <c r="E6" s="87">
        <f>Sheet1!M47</f>
        <v>4250</v>
      </c>
      <c r="F6" s="87">
        <f>Sheet1!L47</f>
        <v>6367</v>
      </c>
      <c r="G6" s="87">
        <f>Sheet1!J47</f>
        <v>30</v>
      </c>
      <c r="H6" s="87">
        <f>Sheet1!N47</f>
        <v>45</v>
      </c>
      <c r="I6" s="87">
        <f>Sheet1!O47</f>
        <v>90</v>
      </c>
      <c r="J6" s="87">
        <f>Sheet1!Q47</f>
        <v>32002</v>
      </c>
      <c r="K6" s="359"/>
      <c r="L6" s="360"/>
      <c r="M6" s="360"/>
      <c r="N6" s="360"/>
      <c r="O6" s="361"/>
    </row>
    <row r="7" spans="1:15" ht="12.75" customHeight="1">
      <c r="A7" s="147"/>
      <c r="B7" s="85"/>
      <c r="C7" s="108"/>
      <c r="D7" s="87">
        <f>Sheet1!K48</f>
        <v>21250</v>
      </c>
      <c r="E7" s="87">
        <f>Sheet1!M48</f>
        <v>4250</v>
      </c>
      <c r="F7" s="87">
        <f>Sheet1!L48</f>
        <v>6367</v>
      </c>
      <c r="G7" s="87">
        <f>Sheet1!J48</f>
        <v>30</v>
      </c>
      <c r="H7" s="87">
        <f>Sheet1!N48</f>
        <v>45</v>
      </c>
      <c r="I7" s="87">
        <f>Sheet1!O48</f>
        <v>90</v>
      </c>
      <c r="J7" s="87">
        <f>Sheet1!Q48</f>
        <v>32002</v>
      </c>
      <c r="K7" s="359"/>
      <c r="L7" s="360"/>
      <c r="M7" s="360"/>
      <c r="N7" s="360"/>
      <c r="O7" s="361"/>
    </row>
    <row r="8" spans="1:15" ht="12.75" customHeight="1">
      <c r="A8" s="147"/>
      <c r="B8" s="85"/>
      <c r="C8" s="108"/>
      <c r="D8" s="87">
        <f>Sheet1!K49</f>
        <v>21250</v>
      </c>
      <c r="E8" s="87">
        <f>Sheet1!M49</f>
        <v>4250</v>
      </c>
      <c r="F8" s="87">
        <f>Sheet1!L49</f>
        <v>6367</v>
      </c>
      <c r="G8" s="87">
        <f>Sheet1!J49</f>
        <v>30</v>
      </c>
      <c r="H8" s="87">
        <f>Sheet1!N49</f>
        <v>45</v>
      </c>
      <c r="I8" s="87">
        <f>Sheet1!P49</f>
        <v>90</v>
      </c>
      <c r="J8" s="87">
        <f>Sheet1!Q49</f>
        <v>32002</v>
      </c>
      <c r="K8" s="359"/>
      <c r="L8" s="360"/>
      <c r="M8" s="360"/>
      <c r="N8" s="360"/>
      <c r="O8" s="361"/>
    </row>
    <row r="9" spans="1:15" ht="12.75" customHeight="1">
      <c r="A9" s="147"/>
      <c r="B9" s="85"/>
      <c r="C9" s="108"/>
      <c r="D9" s="87">
        <f>Sheet1!K50</f>
        <v>21250</v>
      </c>
      <c r="E9" s="87">
        <f>Sheet1!M50</f>
        <v>4250</v>
      </c>
      <c r="F9" s="87">
        <f>Sheet1!L50</f>
        <v>6367</v>
      </c>
      <c r="G9" s="87">
        <f>Sheet1!J50</f>
        <v>30</v>
      </c>
      <c r="H9" s="87">
        <f>Sheet1!N50</f>
        <v>45</v>
      </c>
      <c r="I9" s="87">
        <f>Sheet1!P50</f>
        <v>90</v>
      </c>
      <c r="J9" s="87">
        <f>Sheet1!Q50</f>
        <v>32002</v>
      </c>
      <c r="K9" s="359"/>
      <c r="L9" s="360"/>
      <c r="M9" s="360"/>
      <c r="N9" s="360"/>
      <c r="O9" s="361"/>
    </row>
    <row r="10" spans="1:15" ht="12.75" customHeight="1">
      <c r="A10" s="147"/>
      <c r="B10" s="85"/>
      <c r="C10" s="108"/>
      <c r="D10" s="87">
        <f>Sheet1!K51</f>
        <v>21250</v>
      </c>
      <c r="E10" s="87">
        <f>Sheet1!M51</f>
        <v>4250</v>
      </c>
      <c r="F10" s="87">
        <f>Sheet1!L51</f>
        <v>6367</v>
      </c>
      <c r="G10" s="87">
        <f>Sheet1!J51</f>
        <v>30</v>
      </c>
      <c r="H10" s="87">
        <f>Sheet1!N51</f>
        <v>45</v>
      </c>
      <c r="I10" s="87">
        <f>Sheet1!P51</f>
        <v>90</v>
      </c>
      <c r="J10" s="87">
        <f>Sheet1!Q51</f>
        <v>32002</v>
      </c>
      <c r="K10" s="359"/>
      <c r="L10" s="360"/>
      <c r="M10" s="360"/>
      <c r="N10" s="360"/>
      <c r="O10" s="361"/>
    </row>
    <row r="11" spans="1:15" ht="12.75" customHeight="1">
      <c r="A11" s="147"/>
      <c r="B11" s="85"/>
      <c r="C11" s="108"/>
      <c r="D11" s="87">
        <f>Sheet1!K52</f>
        <v>21250</v>
      </c>
      <c r="E11" s="87">
        <f>Sheet1!M52</f>
        <v>4250</v>
      </c>
      <c r="F11" s="87">
        <f>Sheet1!L52</f>
        <v>6367</v>
      </c>
      <c r="G11" s="87">
        <f>Sheet1!J52</f>
        <v>30</v>
      </c>
      <c r="H11" s="87">
        <f>Sheet1!N52</f>
        <v>45</v>
      </c>
      <c r="I11" s="87">
        <f>Sheet1!P52</f>
        <v>90</v>
      </c>
      <c r="J11" s="87">
        <f>Sheet1!Q52</f>
        <v>32002</v>
      </c>
      <c r="K11" s="359"/>
      <c r="L11" s="360"/>
      <c r="M11" s="360"/>
      <c r="N11" s="360"/>
      <c r="O11" s="361"/>
    </row>
    <row r="12" spans="1:15" ht="12.75" customHeight="1">
      <c r="A12" s="148"/>
      <c r="B12" s="86"/>
      <c r="D12" s="87">
        <f>Sheet1!K53</f>
        <v>21250</v>
      </c>
      <c r="E12" s="87">
        <f>Sheet1!M53</f>
        <v>4250</v>
      </c>
      <c r="F12" s="87">
        <f>Sheet1!L53</f>
        <v>6367</v>
      </c>
      <c r="G12" s="87">
        <f>Sheet1!J53</f>
        <v>30</v>
      </c>
      <c r="H12" s="87">
        <f>Sheet1!N53</f>
        <v>45</v>
      </c>
      <c r="I12" s="87">
        <f>Sheet1!P53</f>
        <v>90</v>
      </c>
      <c r="J12" s="87">
        <f>Sheet1!Q53</f>
        <v>32002</v>
      </c>
      <c r="K12" s="362"/>
      <c r="L12" s="363"/>
      <c r="M12" s="363"/>
      <c r="N12" s="363"/>
      <c r="O12" s="364"/>
    </row>
    <row r="13" spans="1:15" ht="12.75" customHeight="1">
      <c r="A13" s="351" t="s">
        <v>342</v>
      </c>
      <c r="B13" s="352"/>
      <c r="C13" s="353"/>
      <c r="D13" s="88">
        <f aca="true" t="shared" si="0" ref="D13:J13">SUM(D3:D12)</f>
        <v>212500</v>
      </c>
      <c r="E13" s="88">
        <f t="shared" si="0"/>
        <v>42500</v>
      </c>
      <c r="F13" s="88">
        <f t="shared" si="0"/>
        <v>63670</v>
      </c>
      <c r="G13" s="88">
        <f t="shared" si="0"/>
        <v>300</v>
      </c>
      <c r="H13" s="88">
        <f t="shared" si="0"/>
        <v>450</v>
      </c>
      <c r="I13" s="88">
        <f t="shared" si="0"/>
        <v>900</v>
      </c>
      <c r="J13" s="88">
        <f t="shared" si="0"/>
        <v>320020</v>
      </c>
      <c r="K13" s="160"/>
      <c r="L13" s="160"/>
      <c r="M13" s="160"/>
      <c r="N13" s="160"/>
      <c r="O13" s="161"/>
    </row>
    <row r="14" spans="1:15" ht="12.75">
      <c r="A14" s="149"/>
      <c r="B14" s="82"/>
      <c r="C14" s="82"/>
      <c r="D14" s="82"/>
      <c r="E14" s="82"/>
      <c r="F14" s="82"/>
      <c r="G14" s="82"/>
      <c r="H14" s="82"/>
      <c r="I14" s="82"/>
      <c r="J14" s="82"/>
      <c r="K14" s="82"/>
      <c r="L14" s="82"/>
      <c r="M14" s="82"/>
      <c r="N14" s="82"/>
      <c r="O14" s="150"/>
    </row>
    <row r="15" spans="1:15" ht="22.5">
      <c r="A15" s="346" t="str">
        <f>CONCATENATE("                                                 ","Half Pay Leave Salary for ",Sheet1!L116,"Days")</f>
        <v>                                                 Half Pay Leave Salary for 0Days</v>
      </c>
      <c r="B15" s="347"/>
      <c r="C15" s="347"/>
      <c r="D15" s="347"/>
      <c r="E15" s="347"/>
      <c r="F15" s="347"/>
      <c r="G15" s="347"/>
      <c r="H15" s="347"/>
      <c r="I15" s="347"/>
      <c r="J15" s="347"/>
      <c r="K15" s="347"/>
      <c r="L15" s="347"/>
      <c r="M15" s="347"/>
      <c r="N15" s="347"/>
      <c r="O15" s="150"/>
    </row>
    <row r="16" spans="1:15" ht="12.75">
      <c r="A16" s="149"/>
      <c r="B16" s="82"/>
      <c r="C16" s="82"/>
      <c r="D16" s="82"/>
      <c r="E16" s="82"/>
      <c r="F16" s="82"/>
      <c r="G16" s="82"/>
      <c r="H16" s="82"/>
      <c r="I16" s="82"/>
      <c r="J16" s="82"/>
      <c r="K16" s="82"/>
      <c r="L16" s="82"/>
      <c r="M16" s="82"/>
      <c r="N16" s="82"/>
      <c r="O16" s="150"/>
    </row>
    <row r="17" spans="1:15" ht="12.75">
      <c r="A17" s="149"/>
      <c r="B17" s="82"/>
      <c r="C17" s="82"/>
      <c r="D17" s="82"/>
      <c r="E17" s="82"/>
      <c r="F17" s="82"/>
      <c r="G17" s="82"/>
      <c r="H17" s="82"/>
      <c r="I17" s="82"/>
      <c r="J17" s="82"/>
      <c r="K17" s="82"/>
      <c r="L17" s="82"/>
      <c r="M17" s="82"/>
      <c r="N17" s="82"/>
      <c r="O17" s="150"/>
    </row>
    <row r="18" spans="1:15" ht="12.75" customHeight="1">
      <c r="A18" s="149"/>
      <c r="B18" s="82"/>
      <c r="C18" s="348" t="str">
        <f>HPL!B37</f>
        <v>Cash Payment in lieu of Half Pay Leave component</v>
      </c>
      <c r="D18" s="236" t="s">
        <v>12</v>
      </c>
      <c r="E18" s="349" t="str">
        <f>HPL!E38</f>
        <v>HPL Salary admissible on the date of retirement + DA admissible on that date                ------------------------------------                                                           
                   30                                                                                  </v>
      </c>
      <c r="F18" s="349"/>
      <c r="G18" s="340" t="s">
        <v>13</v>
      </c>
      <c r="H18" s="350" t="str">
        <f>HPL!I37</f>
        <v>No of days of HPL at credit subject to the total of EL and HPL at credit not exceeding 300 days</v>
      </c>
      <c r="I18" s="350"/>
      <c r="J18" s="350"/>
      <c r="K18" s="82"/>
      <c r="L18" s="82"/>
      <c r="M18" s="82"/>
      <c r="N18" s="82"/>
      <c r="O18" s="150"/>
    </row>
    <row r="19" spans="1:15" ht="12.75" customHeight="1">
      <c r="A19" s="149"/>
      <c r="B19" s="82"/>
      <c r="C19" s="348"/>
      <c r="D19" s="236"/>
      <c r="E19" s="349"/>
      <c r="F19" s="349"/>
      <c r="G19" s="340"/>
      <c r="H19" s="350"/>
      <c r="I19" s="350"/>
      <c r="J19" s="350"/>
      <c r="K19" s="82"/>
      <c r="L19" s="82"/>
      <c r="M19" s="82"/>
      <c r="N19" s="82"/>
      <c r="O19" s="150"/>
    </row>
    <row r="20" spans="1:15" ht="12.75" customHeight="1">
      <c r="A20" s="149"/>
      <c r="B20" s="82"/>
      <c r="C20" s="348"/>
      <c r="D20" s="236"/>
      <c r="E20" s="349"/>
      <c r="F20" s="349"/>
      <c r="G20" s="340"/>
      <c r="H20" s="350"/>
      <c r="I20" s="350"/>
      <c r="J20" s="350"/>
      <c r="K20" s="82"/>
      <c r="L20" s="82"/>
      <c r="M20" s="82"/>
      <c r="N20" s="82"/>
      <c r="O20" s="150"/>
    </row>
    <row r="21" spans="1:15" ht="39" customHeight="1">
      <c r="A21" s="149"/>
      <c r="B21" s="82"/>
      <c r="C21" s="348"/>
      <c r="D21" s="236"/>
      <c r="E21" s="349"/>
      <c r="F21" s="349"/>
      <c r="G21" s="340"/>
      <c r="H21" s="350"/>
      <c r="I21" s="350"/>
      <c r="J21" s="350"/>
      <c r="K21" s="82"/>
      <c r="L21" s="82"/>
      <c r="M21" s="82"/>
      <c r="N21" s="82"/>
      <c r="O21" s="150"/>
    </row>
    <row r="22" spans="1:15" ht="12.75" customHeight="1">
      <c r="A22" s="149"/>
      <c r="B22" s="82"/>
      <c r="C22" s="82"/>
      <c r="D22" s="236" t="s">
        <v>12</v>
      </c>
      <c r="E22" s="82"/>
      <c r="F22" s="82"/>
      <c r="G22" s="82"/>
      <c r="H22" s="82"/>
      <c r="I22" s="82"/>
      <c r="J22" s="82"/>
      <c r="K22" s="82"/>
      <c r="L22" s="82"/>
      <c r="M22" s="82"/>
      <c r="N22" s="82"/>
      <c r="O22" s="150"/>
    </row>
    <row r="23" spans="1:15" ht="16.5" thickBot="1">
      <c r="A23" s="149"/>
      <c r="B23" s="82"/>
      <c r="C23" s="365"/>
      <c r="D23" s="236"/>
      <c r="E23" s="89" t="str">
        <f>CONCATENATE(Sheet1!G116)</f>
        <v>21250</v>
      </c>
      <c r="F23" s="118" t="str">
        <f>CONCATENATE("+  DA","@",Data!F12,"%",,"           "" X"," ","                ","HPL")</f>
        <v>+  DA@29.96%           " X                 HPL</v>
      </c>
      <c r="G23" s="82"/>
      <c r="H23" s="82"/>
      <c r="I23" s="82"/>
      <c r="J23" s="82"/>
      <c r="K23" s="82"/>
      <c r="L23" s="82"/>
      <c r="M23" s="82"/>
      <c r="N23" s="82"/>
      <c r="O23" s="150"/>
    </row>
    <row r="24" spans="1:15" ht="13.5" thickBot="1">
      <c r="A24" s="149"/>
      <c r="B24" s="82"/>
      <c r="C24" s="365"/>
      <c r="D24" s="236"/>
      <c r="E24" s="119">
        <v>2</v>
      </c>
      <c r="F24" s="119"/>
      <c r="G24" s="82"/>
      <c r="H24" s="82"/>
      <c r="I24" s="82"/>
      <c r="J24" s="82"/>
      <c r="K24" s="82"/>
      <c r="L24" s="82"/>
      <c r="M24" s="82"/>
      <c r="N24" s="82"/>
      <c r="O24" s="150"/>
    </row>
    <row r="25" spans="1:15" ht="15.75">
      <c r="A25" s="149"/>
      <c r="B25" s="82"/>
      <c r="C25" s="82"/>
      <c r="D25" s="236"/>
      <c r="E25" s="366">
        <v>30</v>
      </c>
      <c r="F25" s="366"/>
      <c r="G25" s="340" t="s">
        <v>13</v>
      </c>
      <c r="H25" s="82"/>
      <c r="I25" s="82"/>
      <c r="J25" s="82"/>
      <c r="K25" s="82"/>
      <c r="L25" s="82"/>
      <c r="M25" s="82"/>
      <c r="N25" s="82"/>
      <c r="O25" s="150"/>
    </row>
    <row r="26" spans="1:15" ht="17.25" customHeight="1" thickBot="1">
      <c r="A26" s="149"/>
      <c r="B26" s="82"/>
      <c r="C26" s="365"/>
      <c r="D26" s="151"/>
      <c r="E26" s="338" t="str">
        <f>Sheet1!H127</f>
        <v>10625  +  3183</v>
      </c>
      <c r="F26" s="338"/>
      <c r="G26" s="340"/>
      <c r="H26" s="152">
        <f>Sheet1!L116</f>
        <v>0</v>
      </c>
      <c r="I26" s="152"/>
      <c r="J26" s="82"/>
      <c r="K26" s="82"/>
      <c r="L26" s="82"/>
      <c r="M26" s="82"/>
      <c r="N26" s="82"/>
      <c r="O26" s="150"/>
    </row>
    <row r="27" spans="1:15" ht="19.5" customHeight="1">
      <c r="A27" s="149"/>
      <c r="B27" s="82"/>
      <c r="C27" s="365"/>
      <c r="D27" s="151"/>
      <c r="E27" s="339">
        <v>30</v>
      </c>
      <c r="F27" s="339"/>
      <c r="G27" s="340"/>
      <c r="H27" s="82"/>
      <c r="I27" s="82"/>
      <c r="J27" s="82"/>
      <c r="K27" s="82"/>
      <c r="L27" s="82"/>
      <c r="M27" s="82"/>
      <c r="N27" s="82"/>
      <c r="O27" s="150"/>
    </row>
    <row r="28" spans="1:15" ht="19.5" customHeight="1" thickBot="1">
      <c r="A28" s="149"/>
      <c r="B28" s="82"/>
      <c r="C28" s="153"/>
      <c r="D28" s="144" t="str">
        <f>D22</f>
        <v>=</v>
      </c>
      <c r="E28" s="338">
        <f>Sheet1!J125</f>
        <v>13808</v>
      </c>
      <c r="F28" s="338"/>
      <c r="G28" s="340" t="s">
        <v>13</v>
      </c>
      <c r="H28" s="154">
        <f>H26</f>
        <v>0</v>
      </c>
      <c r="I28" s="155" t="str">
        <f>D22</f>
        <v>=</v>
      </c>
      <c r="J28" s="339" t="str">
        <f>CONCATENATE(Sheet1!J129,".00")</f>
        <v>0.00</v>
      </c>
      <c r="K28" s="339"/>
      <c r="L28" s="82"/>
      <c r="M28" s="82"/>
      <c r="N28" s="82"/>
      <c r="O28" s="150"/>
    </row>
    <row r="29" spans="1:15" ht="18.75" customHeight="1">
      <c r="A29" s="341" t="s">
        <v>336</v>
      </c>
      <c r="B29" s="342"/>
      <c r="C29" s="342"/>
      <c r="D29" s="342"/>
      <c r="E29" s="339">
        <v>30</v>
      </c>
      <c r="F29" s="339"/>
      <c r="G29" s="340"/>
      <c r="H29" s="82"/>
      <c r="I29" s="82"/>
      <c r="J29" s="82"/>
      <c r="K29" s="82"/>
      <c r="L29" s="82"/>
      <c r="M29" s="82"/>
      <c r="N29" s="82"/>
      <c r="O29" s="150"/>
    </row>
    <row r="30" spans="1:15" ht="23.25" customHeight="1">
      <c r="A30" s="336" t="s">
        <v>116</v>
      </c>
      <c r="B30" s="337"/>
      <c r="C30" s="337"/>
      <c r="D30" s="337"/>
      <c r="E30" s="335" t="s">
        <v>115</v>
      </c>
      <c r="F30" s="335"/>
      <c r="G30" s="335"/>
      <c r="H30" s="335"/>
      <c r="I30" s="155" t="str">
        <f>D22</f>
        <v>=</v>
      </c>
      <c r="J30" s="339" t="str">
        <f>CONCATENATE(J13+J28,".00")</f>
        <v>320020.00</v>
      </c>
      <c r="K30" s="339"/>
      <c r="L30" s="82"/>
      <c r="M30" s="82"/>
      <c r="N30" s="82"/>
      <c r="O30" s="150"/>
    </row>
    <row r="31" spans="1:15" ht="12.75" customHeight="1">
      <c r="A31" s="336"/>
      <c r="B31" s="337"/>
      <c r="C31" s="337"/>
      <c r="D31" s="337"/>
      <c r="E31" s="82"/>
      <c r="F31" s="82"/>
      <c r="G31" s="343" t="str">
        <f>CONCATENATE("Passed for Sum of Rs.",J30,"",words!B24,"infavour of under signed")</f>
        <v>Passed for Sum of Rs.320020.00(Three Lakhs Twenty Thousand and Twenty rupees only)infavour of under signed</v>
      </c>
      <c r="H31" s="343"/>
      <c r="I31" s="343"/>
      <c r="J31" s="343"/>
      <c r="K31" s="343"/>
      <c r="L31" s="343"/>
      <c r="M31" s="343"/>
      <c r="N31" s="343"/>
      <c r="O31" s="150"/>
    </row>
    <row r="32" spans="1:15" ht="18.75" customHeight="1">
      <c r="A32" s="336"/>
      <c r="B32" s="337"/>
      <c r="C32" s="337"/>
      <c r="D32" s="337"/>
      <c r="E32" s="82"/>
      <c r="F32" s="82"/>
      <c r="G32" s="343"/>
      <c r="H32" s="343"/>
      <c r="I32" s="343"/>
      <c r="J32" s="343"/>
      <c r="K32" s="343"/>
      <c r="L32" s="343"/>
      <c r="M32" s="343"/>
      <c r="N32" s="343"/>
      <c r="O32" s="150"/>
    </row>
    <row r="33" spans="1:15" ht="16.5" customHeight="1">
      <c r="A33" s="336"/>
      <c r="B33" s="337"/>
      <c r="C33" s="337"/>
      <c r="D33" s="337"/>
      <c r="E33" s="82"/>
      <c r="F33" s="82"/>
      <c r="G33" s="82"/>
      <c r="H33" s="82"/>
      <c r="I33" s="82"/>
      <c r="J33" s="82"/>
      <c r="K33" s="82"/>
      <c r="L33" s="82"/>
      <c r="M33" s="82"/>
      <c r="N33" s="82"/>
      <c r="O33" s="150"/>
    </row>
    <row r="34" spans="1:15" ht="12.75">
      <c r="A34" s="156"/>
      <c r="B34" s="157"/>
      <c r="C34" s="157"/>
      <c r="D34" s="157"/>
      <c r="E34" s="82"/>
      <c r="F34" s="82"/>
      <c r="G34" s="82"/>
      <c r="H34" s="82"/>
      <c r="I34" s="82"/>
      <c r="J34" s="82"/>
      <c r="K34" s="82"/>
      <c r="L34" s="82"/>
      <c r="M34" s="82"/>
      <c r="N34" s="82"/>
      <c r="O34" s="150"/>
    </row>
    <row r="35" spans="1:15" ht="12.75">
      <c r="A35" s="156"/>
      <c r="B35" s="157"/>
      <c r="C35" s="157"/>
      <c r="D35" s="157"/>
      <c r="E35" s="82"/>
      <c r="F35" s="82"/>
      <c r="G35" s="82"/>
      <c r="H35" s="82"/>
      <c r="I35" s="82"/>
      <c r="J35" s="82"/>
      <c r="K35" s="82"/>
      <c r="L35" s="82"/>
      <c r="M35" s="82"/>
      <c r="N35" s="82"/>
      <c r="O35" s="150"/>
    </row>
    <row r="36" spans="1:15" ht="13.5" thickBot="1">
      <c r="A36" s="158"/>
      <c r="B36" s="119"/>
      <c r="C36" s="119"/>
      <c r="D36" s="119"/>
      <c r="E36" s="119"/>
      <c r="F36" s="119"/>
      <c r="G36" s="119"/>
      <c r="H36" s="119"/>
      <c r="I36" s="119"/>
      <c r="J36" s="334" t="s">
        <v>255</v>
      </c>
      <c r="K36" s="334"/>
      <c r="L36" s="334"/>
      <c r="M36" s="334"/>
      <c r="N36" s="119"/>
      <c r="O36" s="159"/>
    </row>
    <row r="41" spans="5:6" ht="12.75">
      <c r="E41" s="185"/>
      <c r="F41" s="185"/>
    </row>
  </sheetData>
  <sheetProtection/>
  <mergeCells count="27">
    <mergeCell ref="G25:G27"/>
    <mergeCell ref="J28:K28"/>
    <mergeCell ref="C23:C24"/>
    <mergeCell ref="C26:C27"/>
    <mergeCell ref="E26:F26"/>
    <mergeCell ref="E27:F27"/>
    <mergeCell ref="D22:D25"/>
    <mergeCell ref="E25:F25"/>
    <mergeCell ref="A1:N1"/>
    <mergeCell ref="A15:N15"/>
    <mergeCell ref="C18:C21"/>
    <mergeCell ref="D18:D21"/>
    <mergeCell ref="E18:F21"/>
    <mergeCell ref="H18:J21"/>
    <mergeCell ref="G18:G21"/>
    <mergeCell ref="A13:C13"/>
    <mergeCell ref="K2:O2"/>
    <mergeCell ref="K3:O12"/>
    <mergeCell ref="J36:M36"/>
    <mergeCell ref="E30:H30"/>
    <mergeCell ref="A30:D33"/>
    <mergeCell ref="E28:F28"/>
    <mergeCell ref="E29:F29"/>
    <mergeCell ref="G28:G29"/>
    <mergeCell ref="A29:D29"/>
    <mergeCell ref="G31:N32"/>
    <mergeCell ref="J30:K30"/>
  </mergeCells>
  <printOptions/>
  <pageMargins left="0.5118110236220472" right="0.5118110236220472" top="0.2755905511811024" bottom="0.1968503937007874" header="0.5118110236220472" footer="0.5118110236220472"/>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ramesh</dc:creator>
  <cp:keywords/>
  <dc:description/>
  <cp:lastModifiedBy>shankara krupa</cp:lastModifiedBy>
  <cp:lastPrinted>2011-09-14T15:41:24Z</cp:lastPrinted>
  <dcterms:created xsi:type="dcterms:W3CDTF">2011-06-24T15:06:50Z</dcterms:created>
  <dcterms:modified xsi:type="dcterms:W3CDTF">2013-06-10T03:29:08Z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