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20" windowHeight="7770" activeTab="1"/>
  </bookViews>
  <sheets>
    <sheet name="Data" sheetId="1" r:id="rId1"/>
    <sheet name="Form 49 " sheetId="2" r:id="rId2"/>
    <sheet name="Inc Proceedings" sheetId="3" r:id="rId3"/>
    <sheet name="Bill" sheetId="4" r:id="rId4"/>
  </sheets>
  <externalReferences>
    <externalReference r:id="rId7"/>
  </externalReferences>
  <definedNames>
    <definedName name="CRITERIA" localSheetId="1">'Form 49 '!#REF!</definedName>
    <definedName name="_xlnm.Print_Area" localSheetId="3">'Bill'!$A$2:$AO$41</definedName>
    <definedName name="_xlnm.Print_Area" localSheetId="1">'Form 49 '!$A$2:$O$21</definedName>
    <definedName name="_xlnm.Print_Area" localSheetId="2">'Inc Proceedings'!$A$2:$H$27</definedName>
    <definedName name="_xlnm.Print_Titles" localSheetId="3">'Bill'!$4:$5</definedName>
    <definedName name="_xlnm.Print_Titles" localSheetId="2">'Inc Proceedings'!$18:$18</definedName>
  </definedNames>
  <calcPr fullCalcOnLoad="1"/>
</workbook>
</file>

<file path=xl/sharedStrings.xml><?xml version="1.0" encoding="utf-8"?>
<sst xmlns="http://schemas.openxmlformats.org/spreadsheetml/2006/main" count="180" uniqueCount="140">
  <si>
    <t>A.P.T.C.FORM – 49</t>
  </si>
  <si>
    <t>(See subsidiary Rule 13 under Treasury Rule – 10)</t>
  </si>
  <si>
    <t>PERIODICAL INCREMENT CERTIFICATE</t>
  </si>
  <si>
    <t>ANNEXURE</t>
  </si>
  <si>
    <t xml:space="preserve">        (1) Certified that every Government Servant(s) named below has have earned the prescribed periodical increment from date/dates noted in column 10 and either 1 (a) has / have been the incumbent or the appointment indicated against his name / their names for a period not less than ………..year since the date in column 5 or (if he has /they have been suspended for misconduct) column 7 after deducting the periods between the dates shown in column (8) and has (9) and has been subjected in any order of stop page of increment as penalty during the periods, and during the periods of leave on average pay taken at a time and from ………………………..which has / have been conducted for increment / in the case of officiating Government Servant / Servants named below the / they would have officiated in the post/ posts but for his / their going on leave or …………………….</t>
  </si>
  <si>
    <t>Sl.No.</t>
  </si>
  <si>
    <t>ID NO</t>
  </si>
  <si>
    <t>Name</t>
  </si>
  <si>
    <t>Appointment</t>
  </si>
  <si>
    <t>Whether Substantive 
or Officiating</t>
  </si>
  <si>
    <t>Date from which 
present pay as drawn</t>
  </si>
  <si>
    <t>Suspension for
 Misconduct</t>
  </si>
  <si>
    <t>Leave without pay and in the case of these holding the post  temporarily or in an officiating capacity all kinds of leave other than leave on average pay during which the would have continued to officiate in the posts but for their going on have up to a maximum of 4 months of such leave taken at a time</t>
  </si>
  <si>
    <t>Date from which increment may be given</t>
  </si>
  <si>
    <t>Scale</t>
  </si>
  <si>
    <t>Present Pay</t>
  </si>
  <si>
    <t>Amount of increment</t>
  </si>
  <si>
    <t>Future Pay</t>
  </si>
  <si>
    <t>From</t>
  </si>
  <si>
    <t>to</t>
  </si>
  <si>
    <t>Substantive</t>
  </si>
  <si>
    <t>Note:
1.  When and increment claimed operates to carry Government Servant over an efficiency have the claim should be supported by a declaration from the     competent authority that it has  satisfied it self that the character and efficiency of the government Servant concerned are such that he is fit to pass the above columns 5 and 10 to 14 should be filled up in red ink</t>
  </si>
  <si>
    <t>2.  The terms leave on average pay upto a maximum 4 months wherever occuring from includes earned leave upto a maximum of 100 days or 50 days or 30 days the case may be far as government Servants governed by the Andhra Pradesh Leave rules 1988 are concerned.</t>
  </si>
  <si>
    <t xml:space="preserve">       Government Servants governed by the Andhra Pradesh Leave Rules 1988 are concerned.</t>
  </si>
  <si>
    <t>Signature and Designation of Drawing Officer</t>
  </si>
  <si>
    <t xml:space="preserve">Rc.No. </t>
  </si>
  <si>
    <t>Dated:</t>
  </si>
  <si>
    <t xml:space="preserve">                              2. G.O.Ms.No.40(Edn), Dt.07-05-2002</t>
  </si>
  <si>
    <t xml:space="preserve">                              3. Applications of the individuals</t>
  </si>
  <si>
    <t>**********</t>
  </si>
  <si>
    <t>ORDER:</t>
  </si>
  <si>
    <t>Sl.
No</t>
  </si>
  <si>
    <t xml:space="preserve">Name of the Teacher </t>
  </si>
  <si>
    <t>Design.</t>
  </si>
  <si>
    <t>Increment w.e.f</t>
  </si>
  <si>
    <t>Present pay</t>
  </si>
  <si>
    <t>Date of Increment</t>
  </si>
  <si>
    <t>School Name</t>
  </si>
  <si>
    <t>Name of the DDO</t>
  </si>
  <si>
    <t>Designation of the DDO</t>
  </si>
  <si>
    <t xml:space="preserve">SRRZPHS NUZVID </t>
  </si>
  <si>
    <t>Sri.K.V.SATYANARAYANA, B.Sc.,B.Ed.,</t>
  </si>
  <si>
    <t xml:space="preserve">SA (Maths)  </t>
  </si>
  <si>
    <t>Pay after the sanction of Increment</t>
  </si>
  <si>
    <t>HEAD MASTER</t>
  </si>
  <si>
    <t>Hide the unnescesary rows in the table by selecting Sl.No colomn</t>
  </si>
  <si>
    <t>13000-40270</t>
  </si>
  <si>
    <t>13390-41380</t>
  </si>
  <si>
    <t>13780-42490</t>
  </si>
  <si>
    <t>14600-44870</t>
  </si>
  <si>
    <t>15030-46060</t>
  </si>
  <si>
    <t>15460-47330</t>
  </si>
  <si>
    <t>16400-49870</t>
  </si>
  <si>
    <t>17890-53950</t>
  </si>
  <si>
    <t>18400-55410</t>
  </si>
  <si>
    <t>19500-58330</t>
  </si>
  <si>
    <t>21230-63010</t>
  </si>
  <si>
    <t>22460-66330</t>
  </si>
  <si>
    <t>23100-67990</t>
  </si>
  <si>
    <t>24440-71510</t>
  </si>
  <si>
    <t>25140-73270</t>
  </si>
  <si>
    <t>26600-77030</t>
  </si>
  <si>
    <t>28940-78910</t>
  </si>
  <si>
    <t>29760-80930</t>
  </si>
  <si>
    <t>31460-84970</t>
  </si>
  <si>
    <t>35120-87130</t>
  </si>
  <si>
    <t>37100-91450</t>
  </si>
  <si>
    <t>40270-93780</t>
  </si>
  <si>
    <t>42490-96110</t>
  </si>
  <si>
    <t>46060-98440</t>
  </si>
  <si>
    <t>49870-100770</t>
  </si>
  <si>
    <t>52590-103290</t>
  </si>
  <si>
    <t>56870-105810</t>
  </si>
  <si>
    <t>61450-105810</t>
  </si>
  <si>
    <t>66330-108330</t>
  </si>
  <si>
    <t>73270-108330</t>
  </si>
  <si>
    <t>80930-110850</t>
  </si>
  <si>
    <t>87130-110850</t>
  </si>
  <si>
    <r>
      <t xml:space="preserve">                     Ref: </t>
    </r>
    <r>
      <rPr>
        <sz val="10"/>
        <rFont val="Arial"/>
        <family val="2"/>
      </rPr>
      <t>1. G.O. Ms. No 46 Finance (HRM.V-PC) Department, dated 30-04-2015</t>
    </r>
  </si>
  <si>
    <t>Period</t>
  </si>
  <si>
    <t>No of Days</t>
  </si>
  <si>
    <t>To be drawn</t>
  </si>
  <si>
    <t xml:space="preserve">Already drawn </t>
  </si>
  <si>
    <t>Difference</t>
  </si>
  <si>
    <t>REMARKS</t>
  </si>
  <si>
    <t>To</t>
  </si>
  <si>
    <t>PAY</t>
  </si>
  <si>
    <t>pp</t>
  </si>
  <si>
    <t>FP</t>
  </si>
  <si>
    <t>S Pay</t>
  </si>
  <si>
    <t>D A</t>
  </si>
  <si>
    <t xml:space="preserve">H R A </t>
  </si>
  <si>
    <t>IR</t>
  </si>
  <si>
    <t>PHA</t>
  </si>
  <si>
    <t>CCA</t>
  </si>
  <si>
    <t>GROSS</t>
  </si>
  <si>
    <t>PT</t>
  </si>
  <si>
    <t>ZPPF</t>
  </si>
  <si>
    <t>CPS</t>
  </si>
  <si>
    <t xml:space="preserve"> GOVT. RECOVERIES</t>
  </si>
  <si>
    <t>Net Payable</t>
  </si>
  <si>
    <t>Total Cash and Adjustment</t>
  </si>
  <si>
    <t>Proceedings Date</t>
  </si>
  <si>
    <t>Proceedings R.C.No</t>
  </si>
  <si>
    <t>Department</t>
  </si>
  <si>
    <t xml:space="preserve">                   Certified that necessary entries have been recorded in the service register of the individual. If any excess amount paid is due to errroneous fixation of pay, the excess amount will be recovered in a lump sum amount with out any prior notice.</t>
  </si>
  <si>
    <t>Designation</t>
  </si>
  <si>
    <t>Name of the employee</t>
  </si>
  <si>
    <t>Bill claimed upto</t>
  </si>
  <si>
    <t>DA</t>
  </si>
  <si>
    <t>HRA</t>
  </si>
  <si>
    <t>Spay</t>
  </si>
  <si>
    <t>PP</t>
  </si>
  <si>
    <t>F Pay</t>
  </si>
  <si>
    <t>PHA/RA</t>
  </si>
  <si>
    <t>CCA Rates</t>
  </si>
  <si>
    <t>Hyd</t>
  </si>
  <si>
    <t>Vij</t>
  </si>
  <si>
    <t>Others</t>
  </si>
  <si>
    <t>New Pay</t>
  </si>
  <si>
    <t>CCA at HYD</t>
  </si>
  <si>
    <t>CCA at VJA</t>
  </si>
  <si>
    <t>CCA at Others</t>
  </si>
  <si>
    <t>OldPay</t>
  </si>
  <si>
    <t>CA</t>
  </si>
  <si>
    <t>Not Applicable</t>
  </si>
  <si>
    <t>Vijayawada</t>
  </si>
  <si>
    <t>Vishakhapatnam</t>
  </si>
  <si>
    <t>Not applicable</t>
  </si>
  <si>
    <t>Hyderabad</t>
  </si>
  <si>
    <t>CCA pre</t>
  </si>
  <si>
    <t>CCA old</t>
  </si>
  <si>
    <t>Pro date</t>
  </si>
  <si>
    <t>Whether employee belongs to CPS/ PF</t>
  </si>
  <si>
    <r>
      <t xml:space="preserve">Hide unnecessary </t>
    </r>
    <r>
      <rPr>
        <b/>
        <u val="single"/>
        <sz val="11"/>
        <color indexed="10"/>
        <rFont val="Arial"/>
        <family val="2"/>
      </rPr>
      <t>rows and columns</t>
    </r>
    <r>
      <rPr>
        <u val="single"/>
        <sz val="11"/>
        <color indexed="10"/>
        <rFont val="Arial"/>
        <family val="2"/>
      </rPr>
      <t xml:space="preserve"> in this sheet and then print out this sheet.</t>
    </r>
  </si>
  <si>
    <r>
      <rPr>
        <sz val="19"/>
        <color indexed="10"/>
        <rFont val="Arial"/>
        <family val="2"/>
      </rPr>
      <t>DATA SHEET FOR INCREMENT ARREAR</t>
    </r>
    <r>
      <rPr>
        <sz val="10"/>
        <rFont val="Arial"/>
        <family val="2"/>
      </rPr>
      <t xml:space="preserve">
Ch Nagendra Rao, SA (Maths)         Cell No : 9440297273</t>
    </r>
  </si>
  <si>
    <t>12/HM/INC/2019</t>
  </si>
  <si>
    <t>PF</t>
  </si>
  <si>
    <t>School Assistant</t>
  </si>
  <si>
    <t>J MALLI</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</si>
</sst>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dd\-mm\-yyyy;@"/>
    <numFmt numFmtId="173" formatCode="0;[Red]0"/>
    <numFmt numFmtId="174" formatCode="[$-409]dddd\,\ mmmm\ d\,\ yyyy"/>
    <numFmt numFmtId="175" formatCode="dd\-mm\-yyyy"/>
  </numFmts>
  <fonts count="64">
    <font>
      <sz val="10"/>
      <name val="Arial"/>
      <family val="0"/>
    </font>
    <font>
      <sz val="11"/>
      <color indexed="8"/>
      <name val="Calibri"/>
      <family val="2"/>
    </font>
    <font>
      <sz val="12"/>
      <name val="Times New Roman"/>
      <family val="1"/>
    </font>
    <font>
      <sz val="10"/>
      <name val="Times New Roman"/>
      <family val="1"/>
    </font>
    <font>
      <sz val="9"/>
      <name val="Times New Roman"/>
      <family val="1"/>
    </font>
    <font>
      <sz val="8"/>
      <name val="Times New Roman"/>
      <family val="1"/>
    </font>
    <font>
      <sz val="9"/>
      <name val="Arial"/>
      <family val="2"/>
    </font>
    <font>
      <sz val="8"/>
      <name val="Arial"/>
      <family val="2"/>
    </font>
    <font>
      <b/>
      <sz val="10"/>
      <name val="Arial"/>
      <family val="2"/>
    </font>
    <font>
      <sz val="12"/>
      <name val="Arial"/>
      <family val="2"/>
    </font>
    <font>
      <b/>
      <u val="single"/>
      <sz val="10"/>
      <name val="Arial"/>
      <family val="2"/>
    </font>
    <font>
      <sz val="10"/>
      <color indexed="8"/>
      <name val="Arial"/>
      <family val="2"/>
    </font>
    <font>
      <u val="single"/>
      <sz val="11"/>
      <color indexed="8"/>
      <name val="Arial"/>
      <family val="2"/>
    </font>
    <font>
      <u val="single"/>
      <sz val="11"/>
      <color indexed="10"/>
      <name val="Arial"/>
      <family val="2"/>
    </font>
    <font>
      <b/>
      <u val="single"/>
      <sz val="11"/>
      <color indexed="10"/>
      <name val="Arial"/>
      <family val="2"/>
    </font>
    <font>
      <b/>
      <u val="single"/>
      <sz val="10"/>
      <color indexed="8"/>
      <name val="Lucida Calligraphy"/>
      <family val="4"/>
    </font>
    <font>
      <b/>
      <sz val="10"/>
      <color indexed="8"/>
      <name val="Lucida Calligraphy"/>
      <family val="4"/>
    </font>
    <font>
      <b/>
      <sz val="8"/>
      <color indexed="8"/>
      <name val="Arial"/>
      <family val="2"/>
    </font>
    <font>
      <sz val="9"/>
      <color indexed="8"/>
      <name val="Arial"/>
      <family val="2"/>
    </font>
    <font>
      <b/>
      <sz val="9"/>
      <color indexed="8"/>
      <name val="Arial"/>
      <family val="2"/>
    </font>
    <font>
      <sz val="19"/>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36"/>
      <name val="Arial"/>
      <family val="2"/>
    </font>
    <font>
      <sz val="10"/>
      <color indexed="10"/>
      <name val="Arial"/>
      <family val="2"/>
    </font>
    <font>
      <sz val="10"/>
      <color indexed="9"/>
      <name val="Arial"/>
      <family val="2"/>
    </font>
    <font>
      <b/>
      <sz val="10"/>
      <color indexed="10"/>
      <name val="Arial"/>
      <family val="2"/>
    </font>
    <font>
      <sz val="16"/>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7030A0"/>
      <name val="Arial"/>
      <family val="2"/>
    </font>
    <font>
      <sz val="10"/>
      <color rgb="FFFF0000"/>
      <name val="Arial"/>
      <family val="2"/>
    </font>
    <font>
      <sz val="10"/>
      <color theme="0"/>
      <name val="Arial"/>
      <family val="2"/>
    </font>
    <font>
      <b/>
      <sz val="10"/>
      <color rgb="FFFF0000"/>
      <name val="Arial"/>
      <family val="2"/>
    </font>
    <font>
      <sz val="16"/>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indexed="5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
      <left/>
      <right style="thin"/>
      <top/>
      <bottom style="thin"/>
    </border>
    <border>
      <left/>
      <right/>
      <top style="thin"/>
      <bottom style="thin"/>
    </border>
    <border>
      <left style="thin"/>
      <right/>
      <top style="thin"/>
      <bottom style="thin"/>
    </border>
    <border>
      <left>
        <color indexed="63"/>
      </left>
      <right>
        <color indexed="63"/>
      </right>
      <top style="thin"/>
      <bottom>
        <color indexed="63"/>
      </bottom>
    </border>
    <border>
      <left style="double"/>
      <right style="double"/>
      <top style="double"/>
      <bottom style="double"/>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double"/>
      <right>
        <color indexed="63"/>
      </right>
      <top style="double"/>
      <bottom style="double"/>
    </border>
    <border>
      <left>
        <color indexed="63"/>
      </left>
      <right style="double"/>
      <top style="double"/>
      <bottom style="double"/>
    </border>
    <border>
      <left/>
      <right style="thin"/>
      <top style="thin"/>
      <bottom style="thin"/>
    </border>
    <border>
      <left>
        <color indexed="63"/>
      </left>
      <right style="thin"/>
      <top style="thin"/>
      <bottom>
        <color indexed="63"/>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1" fillId="0" borderId="0">
      <alignment/>
      <protection/>
    </xf>
    <xf numFmtId="0" fontId="42"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1" fillId="0" borderId="0">
      <alignment wrapText="1"/>
      <protection/>
    </xf>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209">
    <xf numFmtId="0" fontId="0" fillId="0" borderId="0" xfId="0" applyAlignment="1">
      <alignment/>
    </xf>
    <xf numFmtId="0" fontId="0" fillId="0" borderId="0" xfId="0" applyFont="1" applyBorder="1" applyAlignment="1">
      <alignment horizontal="center" vertical="center" wrapText="1"/>
    </xf>
    <xf numFmtId="172" fontId="0" fillId="0" borderId="0" xfId="0" applyNumberFormat="1" applyFont="1" applyBorder="1" applyAlignment="1">
      <alignment horizontal="center" vertical="center" wrapText="1"/>
    </xf>
    <xf numFmtId="0" fontId="0" fillId="0" borderId="0" xfId="0" applyFont="1" applyAlignment="1">
      <alignment horizontal="left" shrinkToFit="1"/>
    </xf>
    <xf numFmtId="0" fontId="0" fillId="0" borderId="0" xfId="0" applyFont="1" applyAlignment="1">
      <alignment horizontal="center" shrinkToFit="1"/>
    </xf>
    <xf numFmtId="0" fontId="0" fillId="0" borderId="0" xfId="0" applyNumberFormat="1" applyFont="1" applyAlignment="1">
      <alignment horizontal="left" indent="1"/>
    </xf>
    <xf numFmtId="0" fontId="0" fillId="0" borderId="0" xfId="0" applyFont="1" applyAlignment="1">
      <alignment/>
    </xf>
    <xf numFmtId="172" fontId="0" fillId="0" borderId="0" xfId="0" applyNumberFormat="1" applyFont="1" applyAlignment="1">
      <alignment/>
    </xf>
    <xf numFmtId="0" fontId="0" fillId="0" borderId="0" xfId="0" applyNumberFormat="1" applyFont="1" applyAlignment="1">
      <alignment/>
    </xf>
    <xf numFmtId="1" fontId="0" fillId="0" borderId="0" xfId="0" applyNumberFormat="1" applyFont="1" applyAlignment="1">
      <alignment/>
    </xf>
    <xf numFmtId="0" fontId="0" fillId="0" borderId="0" xfId="0" applyFont="1" applyAlignment="1">
      <alignment horizontal="center" vertical="center"/>
    </xf>
    <xf numFmtId="0" fontId="0" fillId="0" borderId="0" xfId="0" applyFont="1" applyBorder="1" applyAlignment="1">
      <alignment horizontal="left" vertical="center" shrinkToFit="1"/>
    </xf>
    <xf numFmtId="0" fontId="0" fillId="0" borderId="0" xfId="0" applyFont="1" applyBorder="1" applyAlignment="1">
      <alignment horizontal="center" vertical="center" shrinkToFit="1"/>
    </xf>
    <xf numFmtId="0" fontId="0" fillId="0" borderId="0" xfId="0" applyNumberFormat="1" applyFont="1" applyBorder="1" applyAlignment="1">
      <alignment horizontal="center" vertical="center" wrapText="1"/>
    </xf>
    <xf numFmtId="1" fontId="0" fillId="0" borderId="0" xfId="0" applyNumberFormat="1" applyFont="1" applyBorder="1" applyAlignment="1">
      <alignment horizontal="center" vertical="center" wrapText="1"/>
    </xf>
    <xf numFmtId="0" fontId="6" fillId="0" borderId="0" xfId="0" applyFont="1" applyAlignment="1">
      <alignment horizontal="center" wrapText="1"/>
    </xf>
    <xf numFmtId="172" fontId="0" fillId="0" borderId="0" xfId="0" applyNumberFormat="1" applyFont="1" applyAlignment="1">
      <alignment/>
    </xf>
    <xf numFmtId="0" fontId="0" fillId="0" borderId="0" xfId="0" applyFont="1" applyAlignment="1">
      <alignment/>
    </xf>
    <xf numFmtId="0" fontId="0" fillId="33" borderId="10" xfId="57" applyFill="1" applyBorder="1" applyAlignment="1" applyProtection="1">
      <alignment horizontal="center" vertical="center"/>
      <protection/>
    </xf>
    <xf numFmtId="0" fontId="0" fillId="0" borderId="0" xfId="0" applyFont="1" applyAlignment="1" applyProtection="1">
      <alignment horizontal="center"/>
      <protection hidden="1"/>
    </xf>
    <xf numFmtId="0" fontId="0" fillId="0" borderId="0" xfId="0" applyFont="1" applyAlignment="1" applyProtection="1">
      <alignment horizontal="left" shrinkToFit="1"/>
      <protection hidden="1"/>
    </xf>
    <xf numFmtId="0" fontId="0" fillId="0" borderId="0" xfId="0" applyFont="1" applyAlignment="1" applyProtection="1">
      <alignment horizontal="center" shrinkToFit="1"/>
      <protection hidden="1"/>
    </xf>
    <xf numFmtId="172" fontId="0" fillId="0" borderId="0" xfId="0" applyNumberFormat="1" applyFont="1" applyAlignment="1" applyProtection="1">
      <alignment horizontal="center"/>
      <protection hidden="1"/>
    </xf>
    <xf numFmtId="0" fontId="0" fillId="0" borderId="0" xfId="0" applyNumberFormat="1" applyFont="1" applyAlignment="1" applyProtection="1">
      <alignment horizontal="left" indent="1"/>
      <protection hidden="1"/>
    </xf>
    <xf numFmtId="1" fontId="0" fillId="0" borderId="0" xfId="0" applyNumberFormat="1" applyFont="1" applyAlignment="1" applyProtection="1">
      <alignment horizontal="center"/>
      <protection hidden="1"/>
    </xf>
    <xf numFmtId="172" fontId="0" fillId="0" borderId="0" xfId="0" applyNumberFormat="1" applyFont="1" applyAlignment="1" applyProtection="1">
      <alignment/>
      <protection hidden="1"/>
    </xf>
    <xf numFmtId="0" fontId="0" fillId="0" borderId="0" xfId="0" applyNumberFormat="1" applyFont="1" applyAlignment="1" applyProtection="1">
      <alignment/>
      <protection hidden="1"/>
    </xf>
    <xf numFmtId="1" fontId="0" fillId="0" borderId="0" xfId="0" applyNumberFormat="1" applyFont="1" applyAlignment="1" applyProtection="1">
      <alignment horizontal="right"/>
      <protection hidden="1"/>
    </xf>
    <xf numFmtId="1" fontId="0" fillId="0" borderId="0" xfId="0" applyNumberFormat="1" applyFont="1" applyAlignment="1" applyProtection="1">
      <alignment/>
      <protection hidden="1"/>
    </xf>
    <xf numFmtId="0" fontId="0" fillId="0" borderId="0" xfId="56" applyFont="1" applyAlignment="1" applyProtection="1">
      <alignment horizontal="left" vertical="center"/>
      <protection hidden="1"/>
    </xf>
    <xf numFmtId="0" fontId="8" fillId="0" borderId="0" xfId="56" applyFont="1" applyAlignment="1" applyProtection="1">
      <alignment horizontal="center" vertical="center"/>
      <protection hidden="1"/>
    </xf>
    <xf numFmtId="172" fontId="0" fillId="0" borderId="0" xfId="0" applyNumberFormat="1" applyFont="1" applyAlignment="1" applyProtection="1">
      <alignment wrapText="1"/>
      <protection hidden="1"/>
    </xf>
    <xf numFmtId="0" fontId="0" fillId="0" borderId="0" xfId="0" applyFont="1" applyAlignment="1" applyProtection="1">
      <alignment wrapText="1"/>
      <protection hidden="1"/>
    </xf>
    <xf numFmtId="0" fontId="0" fillId="0" borderId="0" xfId="56" applyFont="1" applyAlignment="1" applyProtection="1">
      <alignment horizontal="center" vertical="center"/>
      <protection hidden="1"/>
    </xf>
    <xf numFmtId="172" fontId="0" fillId="0" borderId="0" xfId="0" applyNumberFormat="1" applyFont="1" applyAlignment="1" applyProtection="1">
      <alignment horizontal="left" wrapText="1"/>
      <protection hidden="1"/>
    </xf>
    <xf numFmtId="0" fontId="0" fillId="0" borderId="0" xfId="0" applyNumberFormat="1" applyFont="1" applyAlignment="1" applyProtection="1">
      <alignment horizontal="left" wrapText="1"/>
      <protection hidden="1"/>
    </xf>
    <xf numFmtId="1" fontId="0" fillId="0" borderId="0" xfId="0" applyNumberFormat="1" applyFont="1" applyAlignment="1" applyProtection="1">
      <alignment horizontal="left" wrapText="1"/>
      <protection hidden="1"/>
    </xf>
    <xf numFmtId="0" fontId="8" fillId="0" borderId="0" xfId="0" applyFont="1" applyAlignment="1" applyProtection="1">
      <alignment horizontal="left" vertical="center"/>
      <protection hidden="1"/>
    </xf>
    <xf numFmtId="0" fontId="8" fillId="0" borderId="0" xfId="0" applyFont="1" applyAlignment="1" applyProtection="1">
      <alignment horizontal="center" vertical="center"/>
      <protection hidden="1"/>
    </xf>
    <xf numFmtId="172" fontId="0" fillId="0" borderId="0" xfId="0" applyNumberFormat="1" applyFont="1" applyAlignment="1" applyProtection="1">
      <alignment horizontal="left" vertical="top"/>
      <protection hidden="1"/>
    </xf>
    <xf numFmtId="0" fontId="0" fillId="0" borderId="0" xfId="0" applyNumberFormat="1" applyFont="1" applyAlignment="1" applyProtection="1">
      <alignment horizontal="left" vertical="top"/>
      <protection hidden="1"/>
    </xf>
    <xf numFmtId="1" fontId="0" fillId="0" borderId="0" xfId="0" applyNumberFormat="1" applyFont="1" applyAlignment="1" applyProtection="1">
      <alignment horizontal="left" vertical="top"/>
      <protection hidden="1"/>
    </xf>
    <xf numFmtId="0" fontId="0" fillId="0" borderId="0" xfId="0" applyFont="1" applyAlignment="1" applyProtection="1">
      <alignment horizontal="left" vertical="center"/>
      <protection hidden="1"/>
    </xf>
    <xf numFmtId="0" fontId="0" fillId="0" borderId="0" xfId="0" applyFont="1" applyAlignment="1" applyProtection="1">
      <alignment horizontal="center" vertical="center"/>
      <protection hidden="1"/>
    </xf>
    <xf numFmtId="0" fontId="9" fillId="0" borderId="0" xfId="0" applyFont="1" applyAlignment="1" applyProtection="1">
      <alignment/>
      <protection hidden="1"/>
    </xf>
    <xf numFmtId="0" fontId="10" fillId="0" borderId="0" xfId="0" applyFont="1" applyAlignment="1" applyProtection="1">
      <alignment horizontal="left"/>
      <protection hidden="1"/>
    </xf>
    <xf numFmtId="0" fontId="0" fillId="0" borderId="10" xfId="0" applyFont="1" applyBorder="1" applyAlignment="1" applyProtection="1">
      <alignment horizontal="center" vertical="center" wrapText="1"/>
      <protection hidden="1"/>
    </xf>
    <xf numFmtId="0" fontId="0" fillId="0" borderId="10" xfId="0" applyFont="1" applyBorder="1" applyAlignment="1" applyProtection="1">
      <alignment horizontal="center" vertical="center" wrapText="1" shrinkToFit="1"/>
      <protection hidden="1"/>
    </xf>
    <xf numFmtId="0" fontId="0" fillId="0" borderId="10" xfId="0" applyFont="1" applyBorder="1" applyAlignment="1" applyProtection="1">
      <alignment horizontal="center" vertical="center" shrinkToFit="1"/>
      <protection hidden="1"/>
    </xf>
    <xf numFmtId="172" fontId="0" fillId="0" borderId="10" xfId="56" applyNumberFormat="1" applyFont="1" applyBorder="1" applyAlignment="1" applyProtection="1">
      <alignment horizontal="center" vertical="center" textRotation="90" wrapText="1"/>
      <protection hidden="1"/>
    </xf>
    <xf numFmtId="0" fontId="0" fillId="0" borderId="10" xfId="0" applyNumberFormat="1" applyFont="1" applyBorder="1" applyAlignment="1" applyProtection="1">
      <alignment horizontal="center" vertical="center" wrapText="1"/>
      <protection hidden="1"/>
    </xf>
    <xf numFmtId="1" fontId="0" fillId="0" borderId="10" xfId="0" applyNumberFormat="1" applyFont="1" applyBorder="1" applyAlignment="1" applyProtection="1">
      <alignment horizontal="center" vertical="center" textRotation="90" wrapText="1"/>
      <protection hidden="1"/>
    </xf>
    <xf numFmtId="0" fontId="6" fillId="0" borderId="11" xfId="0" applyFont="1" applyBorder="1" applyAlignment="1" applyProtection="1">
      <alignment horizontal="center" vertical="center" wrapText="1"/>
      <protection hidden="1"/>
    </xf>
    <xf numFmtId="0" fontId="6" fillId="0" borderId="11" xfId="0" applyFont="1" applyBorder="1" applyAlignment="1" applyProtection="1">
      <alignment horizontal="left" vertical="center" wrapText="1" shrinkToFit="1"/>
      <protection hidden="1"/>
    </xf>
    <xf numFmtId="0" fontId="6" fillId="0" borderId="11" xfId="0" applyFont="1" applyBorder="1" applyAlignment="1" applyProtection="1">
      <alignment horizontal="center" vertical="center" wrapText="1" shrinkToFit="1"/>
      <protection hidden="1"/>
    </xf>
    <xf numFmtId="172" fontId="0" fillId="0" borderId="11" xfId="0" applyNumberFormat="1" applyFont="1" applyBorder="1" applyAlignment="1" applyProtection="1">
      <alignment horizontal="center" vertical="center" wrapText="1"/>
      <protection hidden="1"/>
    </xf>
    <xf numFmtId="1" fontId="0" fillId="0" borderId="10" xfId="0" applyNumberFormat="1" applyFont="1" applyBorder="1" applyAlignment="1" applyProtection="1">
      <alignment horizontal="center" vertical="center" wrapText="1"/>
      <protection hidden="1"/>
    </xf>
    <xf numFmtId="172" fontId="0" fillId="0" borderId="0" xfId="0" applyNumberFormat="1" applyFont="1" applyAlignment="1" applyProtection="1">
      <alignment horizontal="left"/>
      <protection hidden="1" locked="0"/>
    </xf>
    <xf numFmtId="0" fontId="0" fillId="0" borderId="0" xfId="0" applyFont="1" applyAlignment="1" applyProtection="1">
      <alignment horizontal="left" shrinkToFit="1"/>
      <protection hidden="1" locked="0"/>
    </xf>
    <xf numFmtId="0" fontId="0" fillId="0" borderId="0" xfId="0" applyAlignment="1" applyProtection="1">
      <alignment vertical="center"/>
      <protection/>
    </xf>
    <xf numFmtId="0" fontId="0" fillId="0" borderId="0" xfId="0" applyAlignment="1" applyProtection="1">
      <alignment horizontal="center" vertical="center" wrapText="1"/>
      <protection/>
    </xf>
    <xf numFmtId="172" fontId="59" fillId="33" borderId="10" xfId="0" applyNumberFormat="1" applyFont="1" applyFill="1" applyBorder="1" applyAlignment="1" applyProtection="1">
      <alignment vertical="center"/>
      <protection/>
    </xf>
    <xf numFmtId="172" fontId="0" fillId="0" borderId="0" xfId="0" applyNumberFormat="1" applyAlignment="1" applyProtection="1">
      <alignment vertical="center"/>
      <protection/>
    </xf>
    <xf numFmtId="0" fontId="0" fillId="0" borderId="10" xfId="0" applyBorder="1" applyAlignment="1" applyProtection="1">
      <alignment horizontal="center" vertical="center"/>
      <protection/>
    </xf>
    <xf numFmtId="0" fontId="60" fillId="33" borderId="10" xfId="0" applyFont="1" applyFill="1" applyBorder="1" applyAlignment="1" applyProtection="1">
      <alignment horizontal="center" vertical="center"/>
      <protection/>
    </xf>
    <xf numFmtId="0" fontId="0" fillId="33" borderId="10" xfId="0" applyFill="1" applyBorder="1" applyAlignment="1" applyProtection="1">
      <alignment horizontal="center" vertical="center" wrapText="1"/>
      <protection/>
    </xf>
    <xf numFmtId="172" fontId="0" fillId="0" borderId="10" xfId="0" applyNumberFormat="1" applyFont="1" applyBorder="1" applyAlignment="1" applyProtection="1">
      <alignment horizontal="center" vertical="center"/>
      <protection/>
    </xf>
    <xf numFmtId="0" fontId="0" fillId="0" borderId="0" xfId="0" applyAlignment="1" applyProtection="1">
      <alignment horizontal="center" vertical="center"/>
      <protection/>
    </xf>
    <xf numFmtId="0" fontId="0" fillId="0" borderId="0" xfId="0" applyAlignment="1" applyProtection="1">
      <alignment wrapText="1"/>
      <protection/>
    </xf>
    <xf numFmtId="0" fontId="0" fillId="0" borderId="0" xfId="0" applyAlignment="1" applyProtection="1">
      <alignment/>
      <protection/>
    </xf>
    <xf numFmtId="0" fontId="4" fillId="0" borderId="12" xfId="0" applyFont="1" applyBorder="1" applyAlignment="1" applyProtection="1">
      <alignment horizontal="center" vertical="center" textRotation="90" wrapText="1"/>
      <protection/>
    </xf>
    <xf numFmtId="0" fontId="4" fillId="0" borderId="11" xfId="0" applyFont="1" applyBorder="1" applyAlignment="1" applyProtection="1">
      <alignment horizontal="center" vertical="center" textRotation="90" wrapText="1"/>
      <protection/>
    </xf>
    <xf numFmtId="0" fontId="4" fillId="0" borderId="13" xfId="0" applyFont="1"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0" fontId="0" fillId="0" borderId="13" xfId="0" applyFont="1" applyBorder="1"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0" fillId="0" borderId="0" xfId="0" applyFont="1" applyBorder="1" applyAlignment="1" applyProtection="1">
      <alignment horizontal="left" vertical="center" wrapText="1"/>
      <protection/>
    </xf>
    <xf numFmtId="172" fontId="0" fillId="0" borderId="0" xfId="0" applyNumberFormat="1" applyFont="1" applyBorder="1" applyAlignment="1" applyProtection="1">
      <alignment horizontal="center" vertical="center"/>
      <protection/>
    </xf>
    <xf numFmtId="172" fontId="0" fillId="0" borderId="0" xfId="0" applyNumberFormat="1" applyFont="1" applyBorder="1" applyAlignment="1" applyProtection="1">
      <alignment horizontal="center" vertical="center" wrapText="1"/>
      <protection/>
    </xf>
    <xf numFmtId="0" fontId="5" fillId="0" borderId="0" xfId="0" applyFont="1" applyAlignment="1" applyProtection="1">
      <alignment vertical="top" wrapText="1"/>
      <protection/>
    </xf>
    <xf numFmtId="0" fontId="7" fillId="0" borderId="0" xfId="0" applyFont="1" applyAlignment="1" applyProtection="1">
      <alignment wrapText="1"/>
      <protection/>
    </xf>
    <xf numFmtId="0" fontId="5" fillId="0" borderId="0" xfId="0" applyFont="1" applyAlignment="1" applyProtection="1">
      <alignment horizontal="left" wrapText="1" indent="6"/>
      <protection/>
    </xf>
    <xf numFmtId="0" fontId="5" fillId="0" borderId="0" xfId="0" applyFont="1" applyAlignment="1" applyProtection="1">
      <alignment horizontal="left" wrapText="1" indent="4"/>
      <protection/>
    </xf>
    <xf numFmtId="0" fontId="2" fillId="0" borderId="0" xfId="0" applyFont="1" applyAlignment="1" applyProtection="1">
      <alignment wrapText="1"/>
      <protection/>
    </xf>
    <xf numFmtId="0" fontId="6" fillId="0" borderId="11" xfId="0" applyFont="1" applyBorder="1" applyAlignment="1" applyProtection="1">
      <alignment horizontal="center" vertical="center" wrapText="1"/>
      <protection hidden="1" locked="0"/>
    </xf>
    <xf numFmtId="0" fontId="0" fillId="0" borderId="0" xfId="0" applyFont="1" applyAlignment="1" applyProtection="1">
      <alignment/>
      <protection hidden="1" locked="0"/>
    </xf>
    <xf numFmtId="0" fontId="0" fillId="0" borderId="0" xfId="0" applyFont="1" applyBorder="1" applyAlignment="1" applyProtection="1">
      <alignment horizontal="center" vertical="center" wrapText="1"/>
      <protection hidden="1" locked="0"/>
    </xf>
    <xf numFmtId="0" fontId="0" fillId="0" borderId="0" xfId="0" applyFont="1" applyBorder="1" applyAlignment="1" applyProtection="1">
      <alignment horizontal="left" vertical="center" shrinkToFit="1"/>
      <protection hidden="1" locked="0"/>
    </xf>
    <xf numFmtId="0" fontId="0" fillId="0" borderId="0" xfId="0" applyFont="1" applyBorder="1" applyAlignment="1" applyProtection="1">
      <alignment horizontal="center" vertical="center" shrinkToFit="1"/>
      <protection hidden="1" locked="0"/>
    </xf>
    <xf numFmtId="172" fontId="0" fillId="0" borderId="0" xfId="0" applyNumberFormat="1" applyFont="1" applyBorder="1" applyAlignment="1" applyProtection="1">
      <alignment horizontal="center" vertical="center" wrapText="1"/>
      <protection hidden="1" locked="0"/>
    </xf>
    <xf numFmtId="0" fontId="0" fillId="0" borderId="0" xfId="0" applyNumberFormat="1" applyFont="1" applyBorder="1" applyAlignment="1" applyProtection="1">
      <alignment horizontal="center" vertical="center" wrapText="1"/>
      <protection hidden="1" locked="0"/>
    </xf>
    <xf numFmtId="1" fontId="0" fillId="0" borderId="0" xfId="0" applyNumberFormat="1" applyFont="1" applyBorder="1" applyAlignment="1" applyProtection="1">
      <alignment horizontal="center" vertical="center" wrapText="1"/>
      <protection hidden="1" locked="0"/>
    </xf>
    <xf numFmtId="0" fontId="0" fillId="0" borderId="10" xfId="0" applyFont="1" applyBorder="1" applyAlignment="1" applyProtection="1">
      <alignment horizontal="center" vertical="center" wrapText="1"/>
      <protection hidden="1" locked="0"/>
    </xf>
    <xf numFmtId="0" fontId="0" fillId="0" borderId="0" xfId="0" applyFont="1" applyAlignment="1" applyProtection="1">
      <alignment horizontal="center" vertical="center" wrapText="1"/>
      <protection hidden="1" locked="0"/>
    </xf>
    <xf numFmtId="0" fontId="0" fillId="0" borderId="10" xfId="0" applyFont="1" applyBorder="1" applyAlignment="1" applyProtection="1">
      <alignment horizontal="left" vertical="center" wrapText="1"/>
      <protection hidden="1"/>
    </xf>
    <xf numFmtId="172" fontId="0" fillId="0" borderId="10" xfId="0" applyNumberFormat="1" applyFont="1" applyBorder="1" applyAlignment="1" applyProtection="1">
      <alignment horizontal="center" vertical="center"/>
      <protection hidden="1"/>
    </xf>
    <xf numFmtId="172" fontId="0" fillId="0" borderId="10" xfId="0" applyNumberFormat="1" applyFont="1" applyBorder="1" applyAlignment="1" applyProtection="1">
      <alignment horizontal="center" vertical="center" wrapText="1"/>
      <protection hidden="1"/>
    </xf>
    <xf numFmtId="0" fontId="0" fillId="0" borderId="0" xfId="0" applyFont="1" applyAlignment="1" applyProtection="1">
      <alignment/>
      <protection hidden="1"/>
    </xf>
    <xf numFmtId="0" fontId="3" fillId="0" borderId="0" xfId="0" applyFont="1" applyAlignment="1" applyProtection="1">
      <alignment/>
      <protection hidden="1"/>
    </xf>
    <xf numFmtId="0" fontId="0" fillId="0" borderId="10" xfId="0" applyFont="1" applyBorder="1" applyAlignment="1" applyProtection="1">
      <alignment horizontal="left" vertical="center" wrapText="1"/>
      <protection hidden="1" locked="0"/>
    </xf>
    <xf numFmtId="172" fontId="0" fillId="0" borderId="10" xfId="0" applyNumberFormat="1" applyFont="1" applyBorder="1" applyAlignment="1" applyProtection="1">
      <alignment horizontal="center" vertical="center"/>
      <protection hidden="1" locked="0"/>
    </xf>
    <xf numFmtId="172" fontId="0" fillId="0" borderId="10" xfId="0" applyNumberFormat="1" applyFont="1" applyBorder="1" applyAlignment="1" applyProtection="1">
      <alignment horizontal="center" vertical="center" wrapText="1"/>
      <protection hidden="1" locked="0"/>
    </xf>
    <xf numFmtId="0" fontId="6" fillId="0" borderId="11" xfId="0" applyFont="1" applyBorder="1" applyAlignment="1" applyProtection="1">
      <alignment horizontal="left" vertical="center" wrapText="1" shrinkToFit="1"/>
      <protection hidden="1" locked="0"/>
    </xf>
    <xf numFmtId="0" fontId="6" fillId="0" borderId="11" xfId="0" applyFont="1" applyBorder="1" applyAlignment="1" applyProtection="1">
      <alignment horizontal="center" vertical="center" wrapText="1" shrinkToFit="1"/>
      <protection hidden="1" locked="0"/>
    </xf>
    <xf numFmtId="172" fontId="0" fillId="0" borderId="11" xfId="0" applyNumberFormat="1" applyFont="1" applyBorder="1" applyAlignment="1" applyProtection="1">
      <alignment horizontal="center" vertical="center" wrapText="1"/>
      <protection hidden="1" locked="0"/>
    </xf>
    <xf numFmtId="0" fontId="0" fillId="0" borderId="10" xfId="0" applyNumberFormat="1" applyFont="1" applyBorder="1" applyAlignment="1" applyProtection="1">
      <alignment horizontal="center" vertical="center" wrapText="1"/>
      <protection hidden="1" locked="0"/>
    </xf>
    <xf numFmtId="1" fontId="0" fillId="0" borderId="10" xfId="0" applyNumberFormat="1" applyFont="1" applyBorder="1" applyAlignment="1" applyProtection="1">
      <alignment horizontal="center" vertical="center" wrapText="1"/>
      <protection hidden="1" locked="0"/>
    </xf>
    <xf numFmtId="0" fontId="3" fillId="0" borderId="0" xfId="0" applyFont="1" applyAlignment="1" applyProtection="1">
      <alignment/>
      <protection hidden="1" locked="0"/>
    </xf>
    <xf numFmtId="0" fontId="0" fillId="0" borderId="0" xfId="0" applyFont="1" applyAlignment="1" applyProtection="1">
      <alignment horizontal="left" vertical="center"/>
      <protection hidden="1" locked="0"/>
    </xf>
    <xf numFmtId="0" fontId="11" fillId="34" borderId="0" xfId="56" applyFont="1" applyFill="1" applyProtection="1">
      <alignment/>
      <protection hidden="1"/>
    </xf>
    <xf numFmtId="0" fontId="17" fillId="34" borderId="10" xfId="56" applyFont="1" applyFill="1" applyBorder="1" applyAlignment="1" applyProtection="1">
      <alignment horizontal="center" vertical="center" wrapText="1"/>
      <protection hidden="1" locked="0"/>
    </xf>
    <xf numFmtId="0" fontId="17" fillId="34" borderId="14" xfId="56" applyFont="1" applyFill="1" applyBorder="1" applyAlignment="1" applyProtection="1">
      <alignment horizontal="center" vertical="center" wrapText="1"/>
      <protection hidden="1" locked="0"/>
    </xf>
    <xf numFmtId="0" fontId="17" fillId="34" borderId="11" xfId="56" applyFont="1" applyFill="1" applyBorder="1" applyAlignment="1" applyProtection="1">
      <alignment horizontal="center" vertical="center" wrapText="1"/>
      <protection hidden="1" locked="0"/>
    </xf>
    <xf numFmtId="0" fontId="17" fillId="34" borderId="0" xfId="56" applyFont="1" applyFill="1" applyAlignment="1" applyProtection="1">
      <alignment horizontal="center" vertical="center" wrapText="1"/>
      <protection hidden="1" locked="0"/>
    </xf>
    <xf numFmtId="0" fontId="17" fillId="34" borderId="0" xfId="56" applyFont="1" applyFill="1" applyAlignment="1" applyProtection="1">
      <alignment horizontal="center" vertical="center" wrapText="1"/>
      <protection hidden="1"/>
    </xf>
    <xf numFmtId="172" fontId="18" fillId="34" borderId="10" xfId="56" applyNumberFormat="1" applyFont="1" applyFill="1" applyBorder="1" applyAlignment="1" applyProtection="1">
      <alignment horizontal="right" vertical="center"/>
      <protection hidden="1" locked="0"/>
    </xf>
    <xf numFmtId="1" fontId="18" fillId="34" borderId="15" xfId="56" applyNumberFormat="1" applyFont="1" applyFill="1" applyBorder="1" applyAlignment="1" applyProtection="1">
      <alignment horizontal="right" vertical="center" wrapText="1"/>
      <protection hidden="1" locked="0"/>
    </xf>
    <xf numFmtId="1" fontId="18" fillId="34" borderId="10" xfId="56" applyNumberFormat="1" applyFont="1" applyFill="1" applyBorder="1" applyAlignment="1" applyProtection="1">
      <alignment horizontal="right" vertical="center" wrapText="1"/>
      <protection hidden="1" locked="0"/>
    </xf>
    <xf numFmtId="1" fontId="18" fillId="34" borderId="10" xfId="56" applyNumberFormat="1" applyFont="1" applyFill="1" applyBorder="1" applyAlignment="1" applyProtection="1">
      <alignment horizontal="right" vertical="center"/>
      <protection hidden="1" locked="0"/>
    </xf>
    <xf numFmtId="13" fontId="18" fillId="34" borderId="10" xfId="56" applyNumberFormat="1" applyFont="1" applyFill="1" applyBorder="1" applyAlignment="1" applyProtection="1">
      <alignment horizontal="right" vertical="center" wrapText="1"/>
      <protection hidden="1" locked="0"/>
    </xf>
    <xf numFmtId="0" fontId="18" fillId="34" borderId="10" xfId="56" applyFont="1" applyFill="1" applyBorder="1" applyAlignment="1" applyProtection="1">
      <alignment horizontal="right" vertical="center" wrapText="1"/>
      <protection hidden="1" locked="0"/>
    </xf>
    <xf numFmtId="0" fontId="18" fillId="34" borderId="0" xfId="56" applyNumberFormat="1" applyFont="1" applyFill="1" applyAlignment="1" applyProtection="1">
      <alignment horizontal="right" vertical="center" wrapText="1"/>
      <protection hidden="1" locked="0"/>
    </xf>
    <xf numFmtId="0" fontId="18" fillId="34" borderId="0" xfId="56" applyFont="1" applyFill="1" applyAlignment="1" applyProtection="1">
      <alignment horizontal="right" vertical="center" wrapText="1"/>
      <protection hidden="1" locked="0"/>
    </xf>
    <xf numFmtId="173" fontId="18" fillId="34" borderId="10" xfId="56" applyNumberFormat="1" applyFont="1" applyFill="1" applyBorder="1" applyAlignment="1" applyProtection="1">
      <alignment horizontal="right" vertical="center"/>
      <protection hidden="1" locked="0"/>
    </xf>
    <xf numFmtId="0" fontId="18" fillId="34" borderId="0" xfId="56" applyFont="1" applyFill="1" applyAlignment="1" applyProtection="1">
      <alignment horizontal="right" vertical="center"/>
      <protection hidden="1" locked="0"/>
    </xf>
    <xf numFmtId="1" fontId="19" fillId="34" borderId="10" xfId="56" applyNumberFormat="1" applyFont="1" applyFill="1" applyBorder="1" applyAlignment="1" applyProtection="1">
      <alignment horizontal="right" vertical="center" wrapText="1"/>
      <protection hidden="1" locked="0"/>
    </xf>
    <xf numFmtId="0" fontId="19" fillId="34" borderId="10" xfId="56" applyFont="1" applyFill="1" applyBorder="1" applyAlignment="1" applyProtection="1">
      <alignment horizontal="center" vertical="center" wrapText="1"/>
      <protection hidden="1" locked="0"/>
    </xf>
    <xf numFmtId="0" fontId="19" fillId="34" borderId="0" xfId="56" applyFont="1" applyFill="1" applyProtection="1">
      <alignment/>
      <protection hidden="1" locked="0"/>
    </xf>
    <xf numFmtId="0" fontId="19" fillId="34" borderId="0" xfId="56" applyFont="1" applyFill="1" applyBorder="1" applyAlignment="1" applyProtection="1">
      <alignment horizontal="center" vertical="center" wrapText="1"/>
      <protection hidden="1" locked="0"/>
    </xf>
    <xf numFmtId="0" fontId="19" fillId="34" borderId="16" xfId="56" applyFont="1" applyFill="1" applyBorder="1" applyAlignment="1" applyProtection="1">
      <alignment horizontal="center" vertical="center" wrapText="1"/>
      <protection hidden="1" locked="0"/>
    </xf>
    <xf numFmtId="1" fontId="19" fillId="34" borderId="0" xfId="56" applyNumberFormat="1" applyFont="1" applyFill="1" applyBorder="1" applyAlignment="1" applyProtection="1">
      <alignment horizontal="center" vertical="center" wrapText="1"/>
      <protection hidden="1" locked="0"/>
    </xf>
    <xf numFmtId="0" fontId="19" fillId="34" borderId="0" xfId="56" applyFont="1" applyFill="1" applyBorder="1" applyProtection="1">
      <alignment/>
      <protection hidden="1" locked="0"/>
    </xf>
    <xf numFmtId="0" fontId="19" fillId="34" borderId="0" xfId="56" applyFont="1" applyFill="1" applyProtection="1">
      <alignment/>
      <protection hidden="1"/>
    </xf>
    <xf numFmtId="0" fontId="18" fillId="34" borderId="0" xfId="56" applyFont="1" applyFill="1" applyProtection="1">
      <alignment/>
      <protection hidden="1" locked="0"/>
    </xf>
    <xf numFmtId="0" fontId="18" fillId="34" borderId="0" xfId="56" applyFont="1" applyFill="1" applyProtection="1">
      <alignment/>
      <protection hidden="1"/>
    </xf>
    <xf numFmtId="0" fontId="11" fillId="34" borderId="0" xfId="56" applyFont="1" applyFill="1" applyProtection="1">
      <alignment/>
      <protection hidden="1" locked="0"/>
    </xf>
    <xf numFmtId="0" fontId="11" fillId="34" borderId="16" xfId="56" applyFont="1" applyFill="1" applyBorder="1" applyAlignment="1" applyProtection="1">
      <alignment horizontal="center" vertical="center"/>
      <protection hidden="1" locked="0"/>
    </xf>
    <xf numFmtId="0" fontId="11" fillId="34" borderId="0" xfId="56" applyFont="1" applyFill="1" applyBorder="1" applyAlignment="1" applyProtection="1">
      <alignment horizontal="center" vertical="center"/>
      <protection hidden="1" locked="0"/>
    </xf>
    <xf numFmtId="1" fontId="18" fillId="34" borderId="0" xfId="56" applyNumberFormat="1" applyFont="1" applyFill="1" applyAlignment="1" applyProtection="1">
      <alignment horizontal="right" vertical="center" wrapText="1"/>
      <protection hidden="1" locked="0"/>
    </xf>
    <xf numFmtId="172" fontId="18" fillId="34" borderId="0" xfId="56" applyNumberFormat="1" applyFont="1" applyFill="1" applyAlignment="1" applyProtection="1">
      <alignment horizontal="right" vertical="center" wrapText="1"/>
      <protection hidden="1" locked="0"/>
    </xf>
    <xf numFmtId="0" fontId="0" fillId="0" borderId="0" xfId="0" applyBorder="1" applyAlignment="1" applyProtection="1">
      <alignment vertical="center"/>
      <protection/>
    </xf>
    <xf numFmtId="0" fontId="0" fillId="0" borderId="0" xfId="0" applyBorder="1" applyAlignment="1">
      <alignment horizontal="center"/>
    </xf>
    <xf numFmtId="0" fontId="0" fillId="0" borderId="0" xfId="0" applyBorder="1" applyAlignment="1" applyProtection="1">
      <alignment horizontal="center" vertical="center"/>
      <protection/>
    </xf>
    <xf numFmtId="0" fontId="0" fillId="0" borderId="0" xfId="0" applyBorder="1" applyAlignment="1">
      <alignment horizontal="left"/>
    </xf>
    <xf numFmtId="0" fontId="0" fillId="0" borderId="0" xfId="0" applyBorder="1" applyAlignment="1" applyProtection="1">
      <alignment horizontal="left"/>
      <protection/>
    </xf>
    <xf numFmtId="0" fontId="0" fillId="0" borderId="0" xfId="0" applyAlignment="1" applyProtection="1">
      <alignment horizontal="center" wrapText="1"/>
      <protection/>
    </xf>
    <xf numFmtId="0" fontId="0" fillId="33" borderId="0" xfId="0" applyFill="1" applyBorder="1" applyAlignment="1" applyProtection="1">
      <alignment vertical="center"/>
      <protection/>
    </xf>
    <xf numFmtId="0" fontId="61" fillId="33" borderId="0" xfId="0" applyFont="1" applyFill="1" applyBorder="1" applyAlignment="1" applyProtection="1">
      <alignment horizontal="center" vertical="center"/>
      <protection locked="0"/>
    </xf>
    <xf numFmtId="0" fontId="0" fillId="0" borderId="0" xfId="0" applyAlignment="1" applyProtection="1">
      <alignment horizontal="left" vertical="center"/>
      <protection/>
    </xf>
    <xf numFmtId="172" fontId="18" fillId="34" borderId="12" xfId="56" applyNumberFormat="1" applyFont="1" applyFill="1" applyBorder="1" applyAlignment="1" applyProtection="1">
      <alignment horizontal="right" vertical="center"/>
      <protection hidden="1" locked="0"/>
    </xf>
    <xf numFmtId="172" fontId="18" fillId="34" borderId="10" xfId="56" applyNumberFormat="1" applyFont="1" applyFill="1" applyBorder="1" applyAlignment="1" applyProtection="1">
      <alignment horizontal="right" vertical="center" wrapText="1"/>
      <protection hidden="1" locked="0"/>
    </xf>
    <xf numFmtId="0" fontId="0" fillId="35" borderId="10" xfId="0" applyFill="1" applyBorder="1" applyAlignment="1" applyProtection="1">
      <alignment vertical="center"/>
      <protection/>
    </xf>
    <xf numFmtId="0" fontId="8" fillId="35" borderId="10" xfId="0" applyFont="1" applyFill="1" applyBorder="1" applyAlignment="1" applyProtection="1">
      <alignment vertical="center"/>
      <protection/>
    </xf>
    <xf numFmtId="0" fontId="8" fillId="35" borderId="10" xfId="0" applyFont="1" applyFill="1" applyBorder="1" applyAlignment="1" applyProtection="1">
      <alignment horizontal="right" vertical="center"/>
      <protection/>
    </xf>
    <xf numFmtId="0" fontId="0" fillId="35" borderId="10" xfId="0" applyFont="1" applyFill="1" applyBorder="1" applyAlignment="1" applyProtection="1">
      <alignment vertical="center"/>
      <protection/>
    </xf>
    <xf numFmtId="0" fontId="0" fillId="33" borderId="10" xfId="0" applyFill="1" applyBorder="1" applyAlignment="1">
      <alignment horizontal="center"/>
    </xf>
    <xf numFmtId="0" fontId="0" fillId="33" borderId="10" xfId="0" applyFill="1" applyBorder="1" applyAlignment="1">
      <alignment/>
    </xf>
    <xf numFmtId="0" fontId="0" fillId="0" borderId="0" xfId="0" applyFont="1" applyAlignment="1" applyProtection="1">
      <alignment/>
      <protection/>
    </xf>
    <xf numFmtId="0" fontId="0" fillId="0" borderId="0" xfId="0" applyBorder="1" applyAlignment="1" applyProtection="1">
      <alignment horizontal="left" vertical="center"/>
      <protection/>
    </xf>
    <xf numFmtId="0" fontId="0" fillId="33" borderId="0" xfId="0" applyFont="1" applyFill="1" applyBorder="1" applyAlignment="1" applyProtection="1">
      <alignment horizontal="left" vertical="center"/>
      <protection/>
    </xf>
    <xf numFmtId="0" fontId="0" fillId="9" borderId="17" xfId="0" applyFont="1" applyFill="1" applyBorder="1" applyAlignment="1" applyProtection="1">
      <alignment horizontal="left" vertical="center" wrapText="1"/>
      <protection/>
    </xf>
    <xf numFmtId="0" fontId="62" fillId="5" borderId="17" xfId="0" applyFont="1" applyFill="1" applyBorder="1" applyAlignment="1" applyProtection="1">
      <alignment horizontal="center" vertical="center" wrapText="1"/>
      <protection locked="0"/>
    </xf>
    <xf numFmtId="0" fontId="62" fillId="5" borderId="17" xfId="0" applyFont="1" applyFill="1" applyBorder="1" applyAlignment="1" applyProtection="1">
      <alignment horizontal="center" vertical="center"/>
      <protection locked="0"/>
    </xf>
    <xf numFmtId="175" fontId="62" fillId="5" borderId="17" xfId="0" applyNumberFormat="1" applyFont="1" applyFill="1" applyBorder="1" applyAlignment="1" applyProtection="1">
      <alignment horizontal="center" vertical="center" wrapText="1"/>
      <protection locked="0"/>
    </xf>
    <xf numFmtId="0" fontId="0" fillId="9" borderId="17" xfId="0" applyFill="1" applyBorder="1" applyAlignment="1" applyProtection="1">
      <alignment horizontal="left" vertical="center" wrapText="1"/>
      <protection/>
    </xf>
    <xf numFmtId="14" fontId="11" fillId="34" borderId="0" xfId="56" applyNumberFormat="1" applyFont="1" applyFill="1" applyProtection="1">
      <alignment/>
      <protection hidden="1"/>
    </xf>
    <xf numFmtId="0" fontId="8" fillId="35" borderId="18" xfId="0" applyFont="1" applyFill="1" applyBorder="1" applyAlignment="1" applyProtection="1">
      <alignment horizontal="center" vertical="center"/>
      <protection/>
    </xf>
    <xf numFmtId="0" fontId="8" fillId="35" borderId="0" xfId="0" applyFont="1" applyFill="1" applyBorder="1" applyAlignment="1" applyProtection="1">
      <alignment horizontal="center" vertical="center"/>
      <protection/>
    </xf>
    <xf numFmtId="0" fontId="8" fillId="35" borderId="19" xfId="0" applyFont="1" applyFill="1" applyBorder="1" applyAlignment="1" applyProtection="1">
      <alignment horizontal="center" vertical="center"/>
      <protection/>
    </xf>
    <xf numFmtId="0" fontId="8" fillId="35" borderId="20" xfId="0" applyFont="1" applyFill="1" applyBorder="1" applyAlignment="1" applyProtection="1">
      <alignment horizontal="center" vertical="center"/>
      <protection/>
    </xf>
    <xf numFmtId="0" fontId="0" fillId="16" borderId="21" xfId="0" applyFont="1" applyFill="1" applyBorder="1" applyAlignment="1" applyProtection="1">
      <alignment horizontal="center" vertical="center" wrapText="1"/>
      <protection/>
    </xf>
    <xf numFmtId="0" fontId="0" fillId="16" borderId="22" xfId="0" applyFill="1" applyBorder="1" applyAlignment="1" applyProtection="1">
      <alignment horizontal="center" vertical="center"/>
      <protection/>
    </xf>
    <xf numFmtId="0" fontId="63" fillId="0" borderId="0" xfId="0" applyFont="1" applyAlignment="1">
      <alignment horizontal="center"/>
    </xf>
    <xf numFmtId="0" fontId="2" fillId="0" borderId="0" xfId="0" applyFont="1" applyAlignment="1" applyProtection="1">
      <alignment horizontal="center" wrapText="1"/>
      <protection/>
    </xf>
    <xf numFmtId="0" fontId="3" fillId="0" borderId="0" xfId="0" applyFont="1" applyAlignment="1" applyProtection="1">
      <alignment horizontal="center" wrapText="1"/>
      <protection/>
    </xf>
    <xf numFmtId="0" fontId="3" fillId="0" borderId="0" xfId="0" applyFont="1" applyAlignment="1" applyProtection="1">
      <alignment horizontal="justify" vertical="center" wrapText="1"/>
      <protection/>
    </xf>
    <xf numFmtId="0" fontId="5" fillId="0" borderId="15" xfId="0" applyFont="1" applyBorder="1" applyAlignment="1" applyProtection="1">
      <alignment horizontal="justify" vertical="center" wrapText="1"/>
      <protection/>
    </xf>
    <xf numFmtId="0" fontId="5" fillId="0" borderId="23" xfId="0" applyFont="1" applyBorder="1" applyAlignment="1" applyProtection="1">
      <alignment horizontal="justify" vertical="center" wrapText="1"/>
      <protection/>
    </xf>
    <xf numFmtId="0" fontId="4" fillId="0" borderId="12" xfId="0" applyFont="1" applyBorder="1" applyAlignment="1" applyProtection="1">
      <alignment horizontal="center" vertical="center" textRotation="90" wrapText="1"/>
      <protection/>
    </xf>
    <xf numFmtId="0" fontId="4" fillId="0" borderId="11" xfId="0" applyFont="1" applyBorder="1" applyAlignment="1" applyProtection="1">
      <alignment horizontal="center" vertical="center" textRotation="90" wrapText="1"/>
      <protection/>
    </xf>
    <xf numFmtId="0" fontId="6" fillId="0" borderId="0" xfId="0" applyFont="1" applyAlignment="1" applyProtection="1">
      <alignment horizontal="center" wrapText="1"/>
      <protection/>
    </xf>
    <xf numFmtId="0" fontId="5" fillId="0" borderId="0" xfId="0" applyFont="1" applyBorder="1" applyAlignment="1" applyProtection="1">
      <alignment horizontal="left" wrapText="1"/>
      <protection/>
    </xf>
    <xf numFmtId="0" fontId="4" fillId="0" borderId="15" xfId="0" applyFont="1" applyBorder="1" applyAlignment="1" applyProtection="1">
      <alignment horizontal="center" vertical="center" textRotation="90" wrapText="1"/>
      <protection/>
    </xf>
    <xf numFmtId="0" fontId="4" fillId="0" borderId="23" xfId="0" applyFont="1" applyBorder="1" applyAlignment="1" applyProtection="1">
      <alignment horizontal="center" vertical="center" textRotation="90" wrapText="1"/>
      <protection/>
    </xf>
    <xf numFmtId="0" fontId="4" fillId="0" borderId="12" xfId="0" applyFont="1" applyBorder="1" applyAlignment="1" applyProtection="1">
      <alignment horizontal="center" vertical="center" wrapText="1"/>
      <protection/>
    </xf>
    <xf numFmtId="0" fontId="4" fillId="0" borderId="11" xfId="0" applyFont="1" applyBorder="1" applyAlignment="1" applyProtection="1">
      <alignment horizontal="center" vertical="center" wrapText="1"/>
      <protection/>
    </xf>
    <xf numFmtId="0" fontId="6" fillId="0" borderId="0" xfId="0" applyFont="1" applyAlignment="1" applyProtection="1">
      <alignment horizontal="center" wrapText="1"/>
      <protection hidden="1" locked="0"/>
    </xf>
    <xf numFmtId="0" fontId="0" fillId="0" borderId="0" xfId="0" applyFont="1" applyAlignment="1" applyProtection="1">
      <alignment horizontal="center" vertical="center"/>
      <protection hidden="1"/>
    </xf>
    <xf numFmtId="172" fontId="0" fillId="0" borderId="0" xfId="0" applyNumberFormat="1" applyFont="1" applyAlignment="1" applyProtection="1">
      <alignment horizontal="center" vertical="center"/>
      <protection hidden="1"/>
    </xf>
    <xf numFmtId="0" fontId="0" fillId="0" borderId="0" xfId="0" applyFont="1" applyAlignment="1" applyProtection="1">
      <alignment horizontal="center"/>
      <protection hidden="1"/>
    </xf>
    <xf numFmtId="172" fontId="0" fillId="0" borderId="0" xfId="0" applyNumberFormat="1" applyFont="1" applyAlignment="1" applyProtection="1">
      <alignment horizontal="center"/>
      <protection hidden="1"/>
    </xf>
    <xf numFmtId="0" fontId="9" fillId="0" borderId="0" xfId="0" applyFont="1" applyAlignment="1" applyProtection="1">
      <alignment horizontal="center"/>
      <protection hidden="1"/>
    </xf>
    <xf numFmtId="172" fontId="9" fillId="0" borderId="0" xfId="0" applyNumberFormat="1" applyFont="1" applyAlignment="1" applyProtection="1">
      <alignment horizontal="center"/>
      <protection hidden="1"/>
    </xf>
    <xf numFmtId="0" fontId="0" fillId="0" borderId="0" xfId="0" applyFont="1" applyAlignment="1" applyProtection="1">
      <alignment horizontal="left" wrapText="1"/>
      <protection hidden="1"/>
    </xf>
    <xf numFmtId="172" fontId="0" fillId="0" borderId="0" xfId="0" applyNumberFormat="1" applyFont="1" applyAlignment="1" applyProtection="1">
      <alignment horizontal="left" wrapText="1"/>
      <protection hidden="1"/>
    </xf>
    <xf numFmtId="0" fontId="0" fillId="0" borderId="16" xfId="0" applyFont="1" applyBorder="1" applyAlignment="1" applyProtection="1">
      <alignment horizontal="justify" wrapText="1" shrinkToFit="1"/>
      <protection hidden="1" locked="0"/>
    </xf>
    <xf numFmtId="1" fontId="19" fillId="34" borderId="15" xfId="56" applyNumberFormat="1" applyFont="1" applyFill="1" applyBorder="1" applyAlignment="1" applyProtection="1">
      <alignment horizontal="center" vertical="center" wrapText="1"/>
      <protection hidden="1" locked="0"/>
    </xf>
    <xf numFmtId="1" fontId="19" fillId="34" borderId="14" xfId="56" applyNumberFormat="1" applyFont="1" applyFill="1" applyBorder="1" applyAlignment="1" applyProtection="1">
      <alignment horizontal="center" vertical="center" wrapText="1"/>
      <protection hidden="1" locked="0"/>
    </xf>
    <xf numFmtId="1" fontId="19" fillId="34" borderId="23" xfId="56" applyNumberFormat="1" applyFont="1" applyFill="1" applyBorder="1" applyAlignment="1" applyProtection="1">
      <alignment horizontal="center" vertical="center" wrapText="1"/>
      <protection hidden="1" locked="0"/>
    </xf>
    <xf numFmtId="0" fontId="13" fillId="34" borderId="0" xfId="56" applyFont="1" applyFill="1" applyAlignment="1" applyProtection="1">
      <alignment horizontal="left" vertical="center" wrapText="1"/>
      <protection hidden="1" locked="0"/>
    </xf>
    <xf numFmtId="0" fontId="12" fillId="34" borderId="0" xfId="56" applyFont="1" applyFill="1" applyAlignment="1" applyProtection="1">
      <alignment horizontal="left" vertical="center" wrapText="1"/>
      <protection hidden="1" locked="0"/>
    </xf>
    <xf numFmtId="0" fontId="15" fillId="34" borderId="0" xfId="56" applyFont="1" applyFill="1" applyBorder="1" applyAlignment="1" applyProtection="1">
      <alignment horizontal="center" vertical="center" shrinkToFit="1"/>
      <protection hidden="1" locked="0"/>
    </xf>
    <xf numFmtId="0" fontId="16" fillId="34" borderId="20" xfId="56" applyFont="1" applyFill="1" applyBorder="1" applyAlignment="1" applyProtection="1">
      <alignment horizontal="center" vertical="center" shrinkToFit="1"/>
      <protection hidden="1" locked="0"/>
    </xf>
    <xf numFmtId="0" fontId="16" fillId="34" borderId="10" xfId="56" applyFont="1" applyFill="1" applyBorder="1" applyAlignment="1" applyProtection="1">
      <alignment horizontal="center" vertical="center" shrinkToFit="1"/>
      <protection hidden="1" locked="0"/>
    </xf>
    <xf numFmtId="0" fontId="16" fillId="34" borderId="15" xfId="56" applyFont="1" applyFill="1" applyBorder="1" applyAlignment="1" applyProtection="1">
      <alignment horizontal="center" vertical="center" shrinkToFit="1"/>
      <protection hidden="1" locked="0"/>
    </xf>
    <xf numFmtId="0" fontId="11" fillId="34" borderId="10" xfId="56" applyFont="1" applyFill="1" applyBorder="1" applyAlignment="1" applyProtection="1">
      <alignment horizontal="center" vertical="center" textRotation="90" wrapText="1"/>
      <protection hidden="1" locked="0"/>
    </xf>
    <xf numFmtId="0" fontId="17" fillId="34" borderId="24" xfId="56" applyFont="1" applyFill="1" applyBorder="1" applyAlignment="1" applyProtection="1">
      <alignment horizontal="center" vertical="center" textRotation="90" wrapText="1"/>
      <protection hidden="1" locked="0"/>
    </xf>
    <xf numFmtId="0" fontId="17" fillId="34" borderId="13" xfId="56" applyFont="1" applyFill="1" applyBorder="1" applyAlignment="1" applyProtection="1">
      <alignment horizontal="center" vertical="center" textRotation="90" wrapText="1"/>
      <protection hidden="1" locked="0"/>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2 2" xfId="57"/>
    <cellStyle name="Normal 3" xfId="58"/>
    <cellStyle name="Normal 4" xfId="59"/>
    <cellStyle name="Normal 5" xfId="60"/>
    <cellStyle name="Note" xfId="61"/>
    <cellStyle name="Output" xfId="62"/>
    <cellStyle name="Percent" xfId="63"/>
    <cellStyle name="Style 1" xfId="64"/>
    <cellStyle name="Title" xfId="65"/>
    <cellStyle name="Total" xfId="66"/>
    <cellStyle name="Warning Text" xfId="67"/>
  </cellStyles>
  <dxfs count="17">
    <dxf>
      <font>
        <color indexed="9"/>
      </font>
    </dxf>
    <dxf>
      <font>
        <color indexed="9"/>
      </font>
    </dxf>
    <dxf>
      <font>
        <color indexed="9"/>
      </font>
    </dxf>
    <dxf>
      <font>
        <color indexed="9"/>
      </font>
    </dxf>
    <dxf>
      <font>
        <color indexed="9"/>
      </font>
    </dxf>
    <dxf>
      <font>
        <color indexed="9"/>
      </font>
    </dxf>
    <dxf>
      <font>
        <color indexed="9"/>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Manish\AppData\Local\Temp\AAS%20softwar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Proceedings"/>
      <sheetName val="Bill Preparation"/>
      <sheetName val="Bill"/>
      <sheetName val="47 cover page"/>
      <sheetName val="47 back page"/>
      <sheetName val="PF Shed"/>
      <sheetName val="Annexure I"/>
      <sheetName val="Paper Token&amp;101"/>
    </sheetNames>
    <sheetDataSet>
      <sheetData sheetId="2">
        <row r="35">
          <cell r="F35">
            <v>0</v>
          </cell>
          <cell r="J35">
            <v>0</v>
          </cell>
          <cell r="BO35">
            <v>30</v>
          </cell>
        </row>
        <row r="36">
          <cell r="F36">
            <v>0</v>
          </cell>
          <cell r="J36">
            <v>0</v>
          </cell>
          <cell r="BO36">
            <v>31</v>
          </cell>
        </row>
        <row r="37">
          <cell r="F37">
            <v>0</v>
          </cell>
          <cell r="J37">
            <v>0</v>
          </cell>
          <cell r="BO37">
            <v>31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H183"/>
  <sheetViews>
    <sheetView zoomScalePageLayoutView="0" workbookViewId="0" topLeftCell="A1">
      <selection activeCell="C9" sqref="C9"/>
    </sheetView>
  </sheetViews>
  <sheetFormatPr defaultColWidth="9.140625" defaultRowHeight="12.75"/>
  <cols>
    <col min="1" max="1" width="3.7109375" style="67" customWidth="1"/>
    <col min="2" max="2" width="27.28125" style="149" customWidth="1"/>
    <col min="3" max="3" width="45.421875" style="146" customWidth="1"/>
    <col min="4" max="4" width="11.57421875" style="69" hidden="1" customWidth="1"/>
    <col min="5" max="5" width="12.140625" style="69" hidden="1" customWidth="1"/>
    <col min="6" max="6" width="14.28125" style="69" hidden="1" customWidth="1"/>
    <col min="7" max="7" width="15.57421875" style="69" hidden="1" customWidth="1"/>
    <col min="8" max="8" width="13.140625" style="69" hidden="1" customWidth="1"/>
    <col min="9" max="10" width="9.140625" style="69" hidden="1" customWidth="1"/>
    <col min="11" max="11" width="15.00390625" style="69" hidden="1" customWidth="1"/>
    <col min="12" max="12" width="9.140625" style="69" hidden="1" customWidth="1"/>
    <col min="13" max="13" width="11.421875" style="69" hidden="1" customWidth="1"/>
    <col min="14" max="14" width="11.00390625" style="69" hidden="1" customWidth="1"/>
    <col min="15" max="15" width="13.28125" style="69" hidden="1" customWidth="1"/>
    <col min="16" max="16" width="7.140625" style="69" hidden="1" customWidth="1"/>
    <col min="17" max="17" width="11.421875" style="69" hidden="1" customWidth="1"/>
    <col min="18" max="18" width="11.00390625" style="69" hidden="1" customWidth="1"/>
    <col min="19" max="19" width="13.28125" style="69" hidden="1" customWidth="1"/>
    <col min="20" max="20" width="9.140625" style="69" hidden="1" customWidth="1"/>
    <col min="21" max="23" width="10.140625" style="69" hidden="1" customWidth="1"/>
    <col min="24" max="33" width="9.140625" style="69" hidden="1" customWidth="1"/>
    <col min="34" max="34" width="10.140625" style="69" hidden="1" customWidth="1"/>
    <col min="35" max="41" width="9.140625" style="69" hidden="1" customWidth="1"/>
    <col min="42" max="44" width="9.140625" style="69" customWidth="1"/>
    <col min="45" max="45" width="12.57421875" style="69" customWidth="1"/>
    <col min="46" max="61" width="9.140625" style="69" customWidth="1"/>
    <col min="62" max="16384" width="9.140625" style="69" customWidth="1"/>
  </cols>
  <sheetData>
    <row r="1" spans="2:3" ht="58.5" customHeight="1" thickBot="1" thickTop="1">
      <c r="B1" s="171" t="s">
        <v>135</v>
      </c>
      <c r="C1" s="172"/>
    </row>
    <row r="2" spans="1:8" s="59" customFormat="1" ht="28.5" customHeight="1" thickBot="1" thickTop="1">
      <c r="A2" s="147"/>
      <c r="B2" s="161" t="s">
        <v>37</v>
      </c>
      <c r="C2" s="162" t="s">
        <v>40</v>
      </c>
      <c r="D2" s="69"/>
      <c r="E2" s="69"/>
      <c r="F2" s="69"/>
      <c r="G2" s="69"/>
      <c r="H2" s="69"/>
    </row>
    <row r="3" spans="1:8" s="59" customFormat="1" ht="28.5" customHeight="1" thickBot="1" thickTop="1">
      <c r="A3" s="160"/>
      <c r="B3" s="161" t="s">
        <v>38</v>
      </c>
      <c r="C3" s="163" t="s">
        <v>41</v>
      </c>
      <c r="D3" s="69"/>
      <c r="E3" s="69"/>
      <c r="F3" s="69"/>
      <c r="G3" s="69"/>
      <c r="H3" s="69"/>
    </row>
    <row r="4" spans="1:8" s="59" customFormat="1" ht="28.5" customHeight="1" thickBot="1" thickTop="1">
      <c r="A4" s="160"/>
      <c r="B4" s="161" t="s">
        <v>39</v>
      </c>
      <c r="C4" s="163" t="s">
        <v>44</v>
      </c>
      <c r="D4" s="69"/>
      <c r="E4" s="69"/>
      <c r="F4" s="69"/>
      <c r="G4" s="69"/>
      <c r="H4" s="69"/>
    </row>
    <row r="5" spans="1:8" s="59" customFormat="1" ht="30.75" customHeight="1" thickBot="1" thickTop="1">
      <c r="A5" s="141"/>
      <c r="B5" s="161" t="s">
        <v>103</v>
      </c>
      <c r="C5" s="162" t="s">
        <v>136</v>
      </c>
      <c r="D5" s="69"/>
      <c r="E5" s="69"/>
      <c r="F5" s="69"/>
      <c r="G5" s="69"/>
      <c r="H5" s="69"/>
    </row>
    <row r="6" spans="1:34" s="59" customFormat="1" ht="26.25" customHeight="1" thickBot="1" thickTop="1">
      <c r="A6" s="147"/>
      <c r="B6" s="161" t="s">
        <v>102</v>
      </c>
      <c r="C6" s="164">
        <v>43718</v>
      </c>
      <c r="D6" s="69"/>
      <c r="E6" s="69"/>
      <c r="F6" s="69"/>
      <c r="G6" s="69"/>
      <c r="H6" s="69"/>
      <c r="U6" s="61">
        <f>DATE(YEAR(V6)-1,MONTH(V6),1)</f>
        <v>43862</v>
      </c>
      <c r="V6" s="62">
        <f>C12</f>
        <v>44228</v>
      </c>
      <c r="X6" s="63">
        <f>C14</f>
        <v>43680</v>
      </c>
      <c r="Y6" s="18">
        <v>0</v>
      </c>
      <c r="Z6" s="18">
        <v>0</v>
      </c>
      <c r="AA6" s="18">
        <v>0</v>
      </c>
      <c r="AB6" s="18">
        <v>0</v>
      </c>
      <c r="AC6" s="18">
        <f aca="true" t="shared" si="0" ref="AC6:AC40">LOOKUP(X6,$C$103:$C$183,$D$103:$D$183)</f>
        <v>1190</v>
      </c>
      <c r="AD6" s="64">
        <f aca="true" t="shared" si="1" ref="AD6:AD40">SUM(Y6:AC6)</f>
        <v>1190</v>
      </c>
      <c r="AE6" s="65">
        <f>X6+AD6</f>
        <v>44870</v>
      </c>
      <c r="AH6" s="66">
        <v>43831</v>
      </c>
    </row>
    <row r="7" spans="1:34" s="59" customFormat="1" ht="26.25" customHeight="1" thickBot="1" thickTop="1">
      <c r="A7" s="148"/>
      <c r="B7" s="161" t="s">
        <v>104</v>
      </c>
      <c r="C7" s="162" t="s">
        <v>138</v>
      </c>
      <c r="D7" s="69"/>
      <c r="E7" s="69"/>
      <c r="F7" s="69"/>
      <c r="G7" s="69"/>
      <c r="H7" s="69"/>
      <c r="U7" s="61">
        <f aca="true" t="shared" si="2" ref="U7:U15">DATE(YEAR(V7)-1,MONTH(V7),1)</f>
        <v>693598</v>
      </c>
      <c r="V7" s="62">
        <f aca="true" t="shared" si="3" ref="V7:V15">F7</f>
        <v>0</v>
      </c>
      <c r="X7" s="63">
        <f aca="true" t="shared" si="4" ref="X7:X15">H7</f>
        <v>0</v>
      </c>
      <c r="Y7" s="18">
        <v>0</v>
      </c>
      <c r="Z7" s="18">
        <v>0</v>
      </c>
      <c r="AA7" s="18">
        <v>0</v>
      </c>
      <c r="AB7" s="18">
        <v>0</v>
      </c>
      <c r="AC7" s="18">
        <f t="shared" si="0"/>
        <v>0</v>
      </c>
      <c r="AD7" s="64">
        <f t="shared" si="1"/>
        <v>0</v>
      </c>
      <c r="AE7" s="65">
        <f aca="true" t="shared" si="5" ref="AE7:AE15">X7+AD7</f>
        <v>0</v>
      </c>
      <c r="AH7" s="66">
        <v>43862</v>
      </c>
    </row>
    <row r="8" spans="1:34" s="59" customFormat="1" ht="26.25" customHeight="1" thickBot="1" thickTop="1">
      <c r="A8" s="148"/>
      <c r="B8" s="165" t="s">
        <v>6</v>
      </c>
      <c r="C8" s="162">
        <v>549611</v>
      </c>
      <c r="D8" s="69"/>
      <c r="E8" s="69"/>
      <c r="F8" s="69"/>
      <c r="G8" s="69"/>
      <c r="H8" s="69"/>
      <c r="U8" s="61">
        <f t="shared" si="2"/>
        <v>693598</v>
      </c>
      <c r="V8" s="62">
        <f t="shared" si="3"/>
        <v>0</v>
      </c>
      <c r="X8" s="63">
        <f t="shared" si="4"/>
        <v>0</v>
      </c>
      <c r="Y8" s="18">
        <v>0</v>
      </c>
      <c r="Z8" s="18">
        <v>0</v>
      </c>
      <c r="AA8" s="18">
        <v>0</v>
      </c>
      <c r="AB8" s="18">
        <v>0</v>
      </c>
      <c r="AC8" s="18">
        <f t="shared" si="0"/>
        <v>0</v>
      </c>
      <c r="AD8" s="64">
        <f t="shared" si="1"/>
        <v>0</v>
      </c>
      <c r="AE8" s="65">
        <f t="shared" si="5"/>
        <v>0</v>
      </c>
      <c r="AH8" s="66">
        <v>43891</v>
      </c>
    </row>
    <row r="9" spans="1:34" s="59" customFormat="1" ht="26.25" customHeight="1" thickBot="1" thickTop="1">
      <c r="A9" s="148"/>
      <c r="B9" s="161" t="s">
        <v>107</v>
      </c>
      <c r="C9" s="162" t="s">
        <v>139</v>
      </c>
      <c r="D9" s="69"/>
      <c r="E9" s="69"/>
      <c r="F9" s="69"/>
      <c r="G9" s="69"/>
      <c r="H9" s="69"/>
      <c r="U9" s="61">
        <f t="shared" si="2"/>
        <v>693598</v>
      </c>
      <c r="V9" s="62">
        <f t="shared" si="3"/>
        <v>0</v>
      </c>
      <c r="X9" s="63">
        <f t="shared" si="4"/>
        <v>0</v>
      </c>
      <c r="Y9" s="18">
        <v>0</v>
      </c>
      <c r="Z9" s="18">
        <v>0</v>
      </c>
      <c r="AA9" s="18">
        <v>0</v>
      </c>
      <c r="AB9" s="18">
        <v>0</v>
      </c>
      <c r="AC9" s="18">
        <f t="shared" si="0"/>
        <v>0</v>
      </c>
      <c r="AD9" s="64">
        <f t="shared" si="1"/>
        <v>0</v>
      </c>
      <c r="AE9" s="65">
        <f t="shared" si="5"/>
        <v>0</v>
      </c>
      <c r="AH9" s="66">
        <v>43922</v>
      </c>
    </row>
    <row r="10" spans="1:34" s="59" customFormat="1" ht="27.75" customHeight="1" thickBot="1" thickTop="1">
      <c r="A10" s="148"/>
      <c r="B10" s="161" t="s">
        <v>106</v>
      </c>
      <c r="C10" s="162" t="s">
        <v>42</v>
      </c>
      <c r="D10" s="69"/>
      <c r="E10" s="69"/>
      <c r="F10" s="69"/>
      <c r="G10" s="69"/>
      <c r="H10" s="69"/>
      <c r="U10" s="61">
        <f t="shared" si="2"/>
        <v>693598</v>
      </c>
      <c r="V10" s="62">
        <f t="shared" si="3"/>
        <v>0</v>
      </c>
      <c r="X10" s="63">
        <f t="shared" si="4"/>
        <v>0</v>
      </c>
      <c r="Y10" s="18">
        <v>0</v>
      </c>
      <c r="Z10" s="18">
        <v>0</v>
      </c>
      <c r="AA10" s="18">
        <v>0</v>
      </c>
      <c r="AB10" s="18">
        <v>0</v>
      </c>
      <c r="AC10" s="18">
        <f t="shared" si="0"/>
        <v>0</v>
      </c>
      <c r="AD10" s="64">
        <f t="shared" si="1"/>
        <v>0</v>
      </c>
      <c r="AE10" s="65">
        <f t="shared" si="5"/>
        <v>0</v>
      </c>
      <c r="AH10" s="66">
        <v>43952</v>
      </c>
    </row>
    <row r="11" spans="1:34" s="59" customFormat="1" ht="27.75" customHeight="1" thickBot="1" thickTop="1">
      <c r="A11" s="148"/>
      <c r="B11" s="165" t="s">
        <v>9</v>
      </c>
      <c r="C11" s="162" t="s">
        <v>20</v>
      </c>
      <c r="D11" s="69"/>
      <c r="E11" s="69"/>
      <c r="F11" s="69"/>
      <c r="G11" s="69"/>
      <c r="H11" s="69"/>
      <c r="U11" s="61">
        <f t="shared" si="2"/>
        <v>693598</v>
      </c>
      <c r="V11" s="62">
        <f t="shared" si="3"/>
        <v>0</v>
      </c>
      <c r="X11" s="63">
        <f t="shared" si="4"/>
        <v>0</v>
      </c>
      <c r="Y11" s="18">
        <v>0</v>
      </c>
      <c r="Z11" s="18">
        <v>0</v>
      </c>
      <c r="AA11" s="18">
        <v>0</v>
      </c>
      <c r="AB11" s="18">
        <v>0</v>
      </c>
      <c r="AC11" s="18">
        <f t="shared" si="0"/>
        <v>0</v>
      </c>
      <c r="AD11" s="64">
        <f t="shared" si="1"/>
        <v>0</v>
      </c>
      <c r="AE11" s="65">
        <f t="shared" si="5"/>
        <v>0</v>
      </c>
      <c r="AH11" s="66">
        <v>43983</v>
      </c>
    </row>
    <row r="12" spans="1:34" s="59" customFormat="1" ht="27.75" customHeight="1" thickBot="1" thickTop="1">
      <c r="A12" s="148"/>
      <c r="B12" s="161" t="s">
        <v>36</v>
      </c>
      <c r="C12" s="164">
        <v>44228</v>
      </c>
      <c r="D12" s="69"/>
      <c r="E12" s="69"/>
      <c r="F12" s="69"/>
      <c r="G12" s="69"/>
      <c r="H12" s="69"/>
      <c r="U12" s="61">
        <f t="shared" si="2"/>
        <v>693598</v>
      </c>
      <c r="V12" s="62">
        <f t="shared" si="3"/>
        <v>0</v>
      </c>
      <c r="X12" s="63">
        <f t="shared" si="4"/>
        <v>0</v>
      </c>
      <c r="Y12" s="18">
        <v>0</v>
      </c>
      <c r="Z12" s="18">
        <v>0</v>
      </c>
      <c r="AA12" s="18">
        <v>0</v>
      </c>
      <c r="AB12" s="18">
        <v>0</v>
      </c>
      <c r="AC12" s="18">
        <f t="shared" si="0"/>
        <v>0</v>
      </c>
      <c r="AD12" s="64">
        <f t="shared" si="1"/>
        <v>0</v>
      </c>
      <c r="AE12" s="65">
        <f t="shared" si="5"/>
        <v>0</v>
      </c>
      <c r="AH12" s="66">
        <v>44013</v>
      </c>
    </row>
    <row r="13" spans="1:34" s="59" customFormat="1" ht="27.75" customHeight="1" thickBot="1" thickTop="1">
      <c r="A13" s="148"/>
      <c r="B13" s="165" t="s">
        <v>14</v>
      </c>
      <c r="C13" s="162" t="s">
        <v>65</v>
      </c>
      <c r="D13" s="69"/>
      <c r="E13" s="69"/>
      <c r="F13" s="69"/>
      <c r="G13" s="69"/>
      <c r="H13" s="69"/>
      <c r="U13" s="61">
        <f t="shared" si="2"/>
        <v>693598</v>
      </c>
      <c r="V13" s="62">
        <f t="shared" si="3"/>
        <v>0</v>
      </c>
      <c r="X13" s="63">
        <f t="shared" si="4"/>
        <v>0</v>
      </c>
      <c r="Y13" s="18">
        <v>0</v>
      </c>
      <c r="Z13" s="18">
        <v>0</v>
      </c>
      <c r="AA13" s="18">
        <v>0</v>
      </c>
      <c r="AB13" s="18">
        <v>0</v>
      </c>
      <c r="AC13" s="18">
        <f t="shared" si="0"/>
        <v>0</v>
      </c>
      <c r="AD13" s="64">
        <f t="shared" si="1"/>
        <v>0</v>
      </c>
      <c r="AE13" s="65">
        <f t="shared" si="5"/>
        <v>0</v>
      </c>
      <c r="AH13" s="66">
        <v>44044</v>
      </c>
    </row>
    <row r="14" spans="1:34" s="59" customFormat="1" ht="27.75" customHeight="1" thickBot="1" thickTop="1">
      <c r="A14" s="148"/>
      <c r="B14" s="165" t="s">
        <v>15</v>
      </c>
      <c r="C14" s="162">
        <v>43680</v>
      </c>
      <c r="D14" s="69"/>
      <c r="E14" s="69"/>
      <c r="F14" s="69"/>
      <c r="G14" s="69"/>
      <c r="H14" s="69"/>
      <c r="U14" s="61">
        <f t="shared" si="2"/>
        <v>693598</v>
      </c>
      <c r="V14" s="62">
        <f t="shared" si="3"/>
        <v>0</v>
      </c>
      <c r="X14" s="63">
        <f t="shared" si="4"/>
        <v>0</v>
      </c>
      <c r="Y14" s="18">
        <v>0</v>
      </c>
      <c r="Z14" s="18">
        <v>0</v>
      </c>
      <c r="AA14" s="18">
        <v>0</v>
      </c>
      <c r="AB14" s="18">
        <v>0</v>
      </c>
      <c r="AC14" s="18">
        <f t="shared" si="0"/>
        <v>0</v>
      </c>
      <c r="AD14" s="64">
        <f t="shared" si="1"/>
        <v>0</v>
      </c>
      <c r="AE14" s="65">
        <f t="shared" si="5"/>
        <v>0</v>
      </c>
      <c r="AH14" s="66">
        <v>44075</v>
      </c>
    </row>
    <row r="15" spans="1:34" s="59" customFormat="1" ht="27.75" customHeight="1" thickBot="1" thickTop="1">
      <c r="A15" s="148"/>
      <c r="B15" s="165" t="s">
        <v>112</v>
      </c>
      <c r="C15" s="162">
        <v>150</v>
      </c>
      <c r="D15" s="69"/>
      <c r="E15" s="69"/>
      <c r="F15" s="69"/>
      <c r="G15" s="69"/>
      <c r="H15" s="69"/>
      <c r="U15" s="61">
        <f t="shared" si="2"/>
        <v>693598</v>
      </c>
      <c r="V15" s="62">
        <f t="shared" si="3"/>
        <v>0</v>
      </c>
      <c r="X15" s="63">
        <f t="shared" si="4"/>
        <v>0</v>
      </c>
      <c r="Y15" s="18">
        <v>0</v>
      </c>
      <c r="Z15" s="18">
        <v>0</v>
      </c>
      <c r="AA15" s="18">
        <v>0</v>
      </c>
      <c r="AB15" s="18">
        <v>0</v>
      </c>
      <c r="AC15" s="18">
        <f t="shared" si="0"/>
        <v>0</v>
      </c>
      <c r="AD15" s="64">
        <f t="shared" si="1"/>
        <v>0</v>
      </c>
      <c r="AE15" s="65">
        <f t="shared" si="5"/>
        <v>0</v>
      </c>
      <c r="AH15" s="66">
        <v>44105</v>
      </c>
    </row>
    <row r="16" spans="1:34" ht="27.75" customHeight="1" thickBot="1" thickTop="1">
      <c r="A16" s="148"/>
      <c r="B16" s="165" t="s">
        <v>113</v>
      </c>
      <c r="C16" s="162">
        <v>50</v>
      </c>
      <c r="U16" s="61">
        <f aca="true" t="shared" si="6" ref="U16:U40">DATE(YEAR(V16)-1,MONTH(V16),1)</f>
        <v>693598</v>
      </c>
      <c r="V16" s="62">
        <f aca="true" t="shared" si="7" ref="V16:V40">F16</f>
        <v>0</v>
      </c>
      <c r="W16" s="59"/>
      <c r="X16" s="63">
        <f aca="true" t="shared" si="8" ref="X16:X40">H16</f>
        <v>0</v>
      </c>
      <c r="Y16" s="18">
        <v>0</v>
      </c>
      <c r="Z16" s="18">
        <v>0</v>
      </c>
      <c r="AA16" s="18">
        <v>0</v>
      </c>
      <c r="AB16" s="18">
        <v>0</v>
      </c>
      <c r="AC16" s="18">
        <f t="shared" si="0"/>
        <v>0</v>
      </c>
      <c r="AD16" s="64">
        <f t="shared" si="1"/>
        <v>0</v>
      </c>
      <c r="AE16" s="65">
        <f aca="true" t="shared" si="9" ref="AE16:AE40">X16+AD16</f>
        <v>0</v>
      </c>
      <c r="AH16" s="66">
        <v>44136</v>
      </c>
    </row>
    <row r="17" spans="1:34" ht="27.75" customHeight="1" thickBot="1" thickTop="1">
      <c r="A17" s="148"/>
      <c r="B17" s="165" t="s">
        <v>111</v>
      </c>
      <c r="C17" s="162">
        <v>150</v>
      </c>
      <c r="U17" s="61">
        <f t="shared" si="6"/>
        <v>693598</v>
      </c>
      <c r="V17" s="62">
        <f t="shared" si="7"/>
        <v>0</v>
      </c>
      <c r="W17" s="59"/>
      <c r="X17" s="63">
        <f t="shared" si="8"/>
        <v>0</v>
      </c>
      <c r="Y17" s="18">
        <v>0</v>
      </c>
      <c r="Z17" s="18">
        <v>0</v>
      </c>
      <c r="AA17" s="18">
        <v>0</v>
      </c>
      <c r="AB17" s="18">
        <v>0</v>
      </c>
      <c r="AC17" s="18">
        <f t="shared" si="0"/>
        <v>0</v>
      </c>
      <c r="AD17" s="64">
        <f t="shared" si="1"/>
        <v>0</v>
      </c>
      <c r="AE17" s="65">
        <f t="shared" si="9"/>
        <v>0</v>
      </c>
      <c r="AH17" s="66">
        <v>44166</v>
      </c>
    </row>
    <row r="18" spans="1:34" ht="27.75" customHeight="1" thickBot="1" thickTop="1">
      <c r="A18" s="148"/>
      <c r="B18" s="161" t="s">
        <v>109</v>
      </c>
      <c r="C18" s="162">
        <v>30.392</v>
      </c>
      <c r="U18" s="61">
        <f t="shared" si="6"/>
        <v>693598</v>
      </c>
      <c r="V18" s="62">
        <f t="shared" si="7"/>
        <v>0</v>
      </c>
      <c r="W18" s="59"/>
      <c r="X18" s="63">
        <f t="shared" si="8"/>
        <v>0</v>
      </c>
      <c r="Y18" s="18">
        <v>0</v>
      </c>
      <c r="Z18" s="18">
        <v>0</v>
      </c>
      <c r="AA18" s="18">
        <v>0</v>
      </c>
      <c r="AB18" s="18">
        <v>0</v>
      </c>
      <c r="AC18" s="18">
        <f t="shared" si="0"/>
        <v>0</v>
      </c>
      <c r="AD18" s="64">
        <f t="shared" si="1"/>
        <v>0</v>
      </c>
      <c r="AE18" s="65">
        <f t="shared" si="9"/>
        <v>0</v>
      </c>
      <c r="AH18" s="66">
        <v>44197</v>
      </c>
    </row>
    <row r="19" spans="1:34" ht="27.75" customHeight="1" thickBot="1" thickTop="1">
      <c r="A19" s="148"/>
      <c r="B19" s="161" t="s">
        <v>110</v>
      </c>
      <c r="C19" s="162">
        <v>14.5</v>
      </c>
      <c r="U19" s="61">
        <f t="shared" si="6"/>
        <v>693598</v>
      </c>
      <c r="V19" s="62">
        <f t="shared" si="7"/>
        <v>0</v>
      </c>
      <c r="W19" s="59"/>
      <c r="X19" s="63">
        <f t="shared" si="8"/>
        <v>0</v>
      </c>
      <c r="Y19" s="18">
        <v>0</v>
      </c>
      <c r="Z19" s="18">
        <v>0</v>
      </c>
      <c r="AA19" s="18">
        <v>0</v>
      </c>
      <c r="AB19" s="18">
        <v>0</v>
      </c>
      <c r="AC19" s="18">
        <f t="shared" si="0"/>
        <v>0</v>
      </c>
      <c r="AD19" s="64">
        <f t="shared" si="1"/>
        <v>0</v>
      </c>
      <c r="AE19" s="65">
        <f t="shared" si="9"/>
        <v>0</v>
      </c>
      <c r="AH19" s="66">
        <v>44228</v>
      </c>
    </row>
    <row r="20" spans="1:34" ht="27.75" customHeight="1" thickBot="1" thickTop="1">
      <c r="A20" s="148"/>
      <c r="B20" s="161" t="s">
        <v>108</v>
      </c>
      <c r="C20" s="164">
        <v>44286</v>
      </c>
      <c r="U20" s="61">
        <f t="shared" si="6"/>
        <v>693598</v>
      </c>
      <c r="V20" s="62">
        <f t="shared" si="7"/>
        <v>0</v>
      </c>
      <c r="W20" s="59"/>
      <c r="X20" s="63">
        <f t="shared" si="8"/>
        <v>0</v>
      </c>
      <c r="Y20" s="18">
        <v>0</v>
      </c>
      <c r="Z20" s="18">
        <v>0</v>
      </c>
      <c r="AA20" s="18">
        <v>0</v>
      </c>
      <c r="AB20" s="18">
        <v>0</v>
      </c>
      <c r="AC20" s="18">
        <f t="shared" si="0"/>
        <v>0</v>
      </c>
      <c r="AD20" s="64">
        <f t="shared" si="1"/>
        <v>0</v>
      </c>
      <c r="AE20" s="65">
        <f t="shared" si="9"/>
        <v>0</v>
      </c>
      <c r="AH20" s="66">
        <v>44256</v>
      </c>
    </row>
    <row r="21" spans="1:34" ht="27.75" customHeight="1" thickBot="1" thickTop="1">
      <c r="A21" s="148"/>
      <c r="B21" s="161" t="s">
        <v>114</v>
      </c>
      <c r="C21" s="162" t="s">
        <v>125</v>
      </c>
      <c r="U21" s="61">
        <f t="shared" si="6"/>
        <v>693598</v>
      </c>
      <c r="V21" s="62">
        <f t="shared" si="7"/>
        <v>0</v>
      </c>
      <c r="W21" s="59"/>
      <c r="X21" s="63">
        <f t="shared" si="8"/>
        <v>0</v>
      </c>
      <c r="Y21" s="18">
        <v>0</v>
      </c>
      <c r="Z21" s="18">
        <v>0</v>
      </c>
      <c r="AA21" s="18">
        <v>0</v>
      </c>
      <c r="AB21" s="18">
        <v>0</v>
      </c>
      <c r="AC21" s="18">
        <f t="shared" si="0"/>
        <v>0</v>
      </c>
      <c r="AD21" s="64">
        <f t="shared" si="1"/>
        <v>0</v>
      </c>
      <c r="AE21" s="65">
        <f t="shared" si="9"/>
        <v>0</v>
      </c>
      <c r="AH21" s="66">
        <v>44287</v>
      </c>
    </row>
    <row r="22" spans="1:34" ht="27.75" customHeight="1" thickBot="1" thickTop="1">
      <c r="A22" s="148"/>
      <c r="B22" s="161" t="s">
        <v>94</v>
      </c>
      <c r="C22" s="162" t="s">
        <v>128</v>
      </c>
      <c r="U22" s="61">
        <f t="shared" si="6"/>
        <v>693598</v>
      </c>
      <c r="V22" s="62">
        <f t="shared" si="7"/>
        <v>0</v>
      </c>
      <c r="W22" s="59"/>
      <c r="X22" s="63">
        <f t="shared" si="8"/>
        <v>0</v>
      </c>
      <c r="Y22" s="18">
        <v>0</v>
      </c>
      <c r="Z22" s="18">
        <v>0</v>
      </c>
      <c r="AA22" s="18">
        <v>0</v>
      </c>
      <c r="AB22" s="18">
        <v>0</v>
      </c>
      <c r="AC22" s="18">
        <f t="shared" si="0"/>
        <v>0</v>
      </c>
      <c r="AD22" s="64">
        <f t="shared" si="1"/>
        <v>0</v>
      </c>
      <c r="AE22" s="65">
        <f t="shared" si="9"/>
        <v>0</v>
      </c>
      <c r="AH22" s="66">
        <v>44317</v>
      </c>
    </row>
    <row r="23" spans="1:34" ht="27.75" customHeight="1" thickBot="1" thickTop="1">
      <c r="A23" s="148"/>
      <c r="B23" s="161" t="s">
        <v>133</v>
      </c>
      <c r="C23" s="162" t="s">
        <v>137</v>
      </c>
      <c r="U23" s="61">
        <f t="shared" si="6"/>
        <v>693598</v>
      </c>
      <c r="V23" s="62">
        <f t="shared" si="7"/>
        <v>0</v>
      </c>
      <c r="W23" s="59"/>
      <c r="X23" s="63">
        <f t="shared" si="8"/>
        <v>0</v>
      </c>
      <c r="Y23" s="18">
        <v>0</v>
      </c>
      <c r="Z23" s="18">
        <v>0</v>
      </c>
      <c r="AA23" s="18">
        <v>0</v>
      </c>
      <c r="AB23" s="18">
        <v>0</v>
      </c>
      <c r="AC23" s="18">
        <f t="shared" si="0"/>
        <v>0</v>
      </c>
      <c r="AD23" s="64">
        <f t="shared" si="1"/>
        <v>0</v>
      </c>
      <c r="AE23" s="65">
        <f t="shared" si="9"/>
        <v>0</v>
      </c>
      <c r="AH23" s="66">
        <v>44348</v>
      </c>
    </row>
    <row r="24" spans="1:34" ht="27.75" customHeight="1" thickTop="1">
      <c r="A24" s="159"/>
      <c r="B24" s="159"/>
      <c r="U24" s="61">
        <f t="shared" si="6"/>
        <v>693598</v>
      </c>
      <c r="V24" s="62">
        <f t="shared" si="7"/>
        <v>0</v>
      </c>
      <c r="W24" s="59"/>
      <c r="X24" s="63">
        <f t="shared" si="8"/>
        <v>0</v>
      </c>
      <c r="Y24" s="18">
        <v>0</v>
      </c>
      <c r="Z24" s="18">
        <v>0</v>
      </c>
      <c r="AA24" s="18">
        <v>0</v>
      </c>
      <c r="AB24" s="18">
        <v>0</v>
      </c>
      <c r="AC24" s="18">
        <f t="shared" si="0"/>
        <v>0</v>
      </c>
      <c r="AD24" s="64">
        <f t="shared" si="1"/>
        <v>0</v>
      </c>
      <c r="AE24" s="65">
        <f t="shared" si="9"/>
        <v>0</v>
      </c>
      <c r="AH24" s="66">
        <v>44378</v>
      </c>
    </row>
    <row r="25" spans="1:34" ht="27.75" customHeight="1">
      <c r="A25" s="159"/>
      <c r="B25" s="159"/>
      <c r="U25" s="61">
        <f t="shared" si="6"/>
        <v>693598</v>
      </c>
      <c r="V25" s="62">
        <f t="shared" si="7"/>
        <v>0</v>
      </c>
      <c r="W25" s="59"/>
      <c r="X25" s="63">
        <f t="shared" si="8"/>
        <v>0</v>
      </c>
      <c r="Y25" s="18">
        <v>0</v>
      </c>
      <c r="Z25" s="18">
        <v>0</v>
      </c>
      <c r="AA25" s="18">
        <v>0</v>
      </c>
      <c r="AB25" s="18">
        <v>0</v>
      </c>
      <c r="AC25" s="18">
        <f t="shared" si="0"/>
        <v>0</v>
      </c>
      <c r="AD25" s="64">
        <f t="shared" si="1"/>
        <v>0</v>
      </c>
      <c r="AE25" s="65">
        <f t="shared" si="9"/>
        <v>0</v>
      </c>
      <c r="AH25" s="66">
        <v>44409</v>
      </c>
    </row>
    <row r="26" spans="1:34" ht="27.75" customHeight="1">
      <c r="A26" s="159"/>
      <c r="B26" s="159"/>
      <c r="U26" s="61">
        <f t="shared" si="6"/>
        <v>693598</v>
      </c>
      <c r="V26" s="62">
        <f t="shared" si="7"/>
        <v>0</v>
      </c>
      <c r="W26" s="59"/>
      <c r="X26" s="63">
        <f t="shared" si="8"/>
        <v>0</v>
      </c>
      <c r="Y26" s="18">
        <v>0</v>
      </c>
      <c r="Z26" s="18">
        <v>0</v>
      </c>
      <c r="AA26" s="18">
        <v>0</v>
      </c>
      <c r="AB26" s="18">
        <v>0</v>
      </c>
      <c r="AC26" s="18">
        <f t="shared" si="0"/>
        <v>0</v>
      </c>
      <c r="AD26" s="64">
        <f t="shared" si="1"/>
        <v>0</v>
      </c>
      <c r="AE26" s="65">
        <f t="shared" si="9"/>
        <v>0</v>
      </c>
      <c r="AH26" s="66">
        <v>44440</v>
      </c>
    </row>
    <row r="27" spans="1:34" ht="27.75" customHeight="1">
      <c r="A27" s="159"/>
      <c r="B27" s="159"/>
      <c r="U27" s="61">
        <f t="shared" si="6"/>
        <v>693598</v>
      </c>
      <c r="V27" s="62">
        <f t="shared" si="7"/>
        <v>0</v>
      </c>
      <c r="W27" s="59"/>
      <c r="X27" s="63">
        <f t="shared" si="8"/>
        <v>0</v>
      </c>
      <c r="Y27" s="18">
        <v>0</v>
      </c>
      <c r="Z27" s="18">
        <v>0</v>
      </c>
      <c r="AA27" s="18">
        <v>0</v>
      </c>
      <c r="AB27" s="18">
        <v>0</v>
      </c>
      <c r="AC27" s="18">
        <f t="shared" si="0"/>
        <v>0</v>
      </c>
      <c r="AD27" s="64">
        <f t="shared" si="1"/>
        <v>0</v>
      </c>
      <c r="AE27" s="65">
        <f t="shared" si="9"/>
        <v>0</v>
      </c>
      <c r="AH27" s="66">
        <v>44470</v>
      </c>
    </row>
    <row r="28" spans="1:34" ht="27.75" customHeight="1">
      <c r="A28" s="159"/>
      <c r="B28" s="159"/>
      <c r="U28" s="61">
        <f t="shared" si="6"/>
        <v>693598</v>
      </c>
      <c r="V28" s="62">
        <f t="shared" si="7"/>
        <v>0</v>
      </c>
      <c r="W28" s="59"/>
      <c r="X28" s="63">
        <f t="shared" si="8"/>
        <v>0</v>
      </c>
      <c r="Y28" s="18">
        <v>0</v>
      </c>
      <c r="Z28" s="18">
        <v>0</v>
      </c>
      <c r="AA28" s="18">
        <v>0</v>
      </c>
      <c r="AB28" s="18">
        <v>0</v>
      </c>
      <c r="AC28" s="18">
        <f t="shared" si="0"/>
        <v>0</v>
      </c>
      <c r="AD28" s="64">
        <f t="shared" si="1"/>
        <v>0</v>
      </c>
      <c r="AE28" s="65">
        <f t="shared" si="9"/>
        <v>0</v>
      </c>
      <c r="AH28" s="66">
        <v>44501</v>
      </c>
    </row>
    <row r="29" spans="1:34" ht="27.75" customHeight="1">
      <c r="A29" s="159"/>
      <c r="B29" s="159"/>
      <c r="U29" s="61">
        <f t="shared" si="6"/>
        <v>693598</v>
      </c>
      <c r="V29" s="62">
        <f t="shared" si="7"/>
        <v>0</v>
      </c>
      <c r="W29" s="59"/>
      <c r="X29" s="63">
        <f t="shared" si="8"/>
        <v>0</v>
      </c>
      <c r="Y29" s="18">
        <v>0</v>
      </c>
      <c r="Z29" s="18">
        <v>0</v>
      </c>
      <c r="AA29" s="18">
        <v>0</v>
      </c>
      <c r="AB29" s="18">
        <v>0</v>
      </c>
      <c r="AC29" s="18">
        <f t="shared" si="0"/>
        <v>0</v>
      </c>
      <c r="AD29" s="64">
        <f t="shared" si="1"/>
        <v>0</v>
      </c>
      <c r="AE29" s="65">
        <f t="shared" si="9"/>
        <v>0</v>
      </c>
      <c r="AH29" s="66">
        <v>44531</v>
      </c>
    </row>
    <row r="30" spans="1:31" ht="27.75" customHeight="1">
      <c r="A30" s="159"/>
      <c r="B30" s="159"/>
      <c r="U30" s="61">
        <f t="shared" si="6"/>
        <v>693598</v>
      </c>
      <c r="V30" s="62">
        <f t="shared" si="7"/>
        <v>0</v>
      </c>
      <c r="W30" s="59"/>
      <c r="X30" s="63">
        <f t="shared" si="8"/>
        <v>0</v>
      </c>
      <c r="Y30" s="18">
        <v>0</v>
      </c>
      <c r="Z30" s="18">
        <v>0</v>
      </c>
      <c r="AA30" s="18">
        <v>0</v>
      </c>
      <c r="AB30" s="18">
        <v>0</v>
      </c>
      <c r="AC30" s="18">
        <f t="shared" si="0"/>
        <v>0</v>
      </c>
      <c r="AD30" s="64">
        <f t="shared" si="1"/>
        <v>0</v>
      </c>
      <c r="AE30" s="65">
        <f t="shared" si="9"/>
        <v>0</v>
      </c>
    </row>
    <row r="31" spans="1:31" ht="27.75" customHeight="1">
      <c r="A31" s="159"/>
      <c r="B31" s="159"/>
      <c r="U31" s="61">
        <f t="shared" si="6"/>
        <v>693598</v>
      </c>
      <c r="V31" s="62">
        <f t="shared" si="7"/>
        <v>0</v>
      </c>
      <c r="W31" s="59"/>
      <c r="X31" s="63">
        <f t="shared" si="8"/>
        <v>0</v>
      </c>
      <c r="Y31" s="18">
        <v>0</v>
      </c>
      <c r="Z31" s="18">
        <v>0</v>
      </c>
      <c r="AA31" s="18">
        <v>0</v>
      </c>
      <c r="AB31" s="18">
        <v>0</v>
      </c>
      <c r="AC31" s="18">
        <f t="shared" si="0"/>
        <v>0</v>
      </c>
      <c r="AD31" s="64">
        <f t="shared" si="1"/>
        <v>0</v>
      </c>
      <c r="AE31" s="65">
        <f t="shared" si="9"/>
        <v>0</v>
      </c>
    </row>
    <row r="32" spans="1:31" ht="27.75" customHeight="1">
      <c r="A32" s="159"/>
      <c r="B32" s="159"/>
      <c r="U32" s="61">
        <f t="shared" si="6"/>
        <v>693598</v>
      </c>
      <c r="V32" s="62">
        <f t="shared" si="7"/>
        <v>0</v>
      </c>
      <c r="W32" s="59"/>
      <c r="X32" s="63">
        <f t="shared" si="8"/>
        <v>0</v>
      </c>
      <c r="Y32" s="18">
        <v>0</v>
      </c>
      <c r="Z32" s="18">
        <v>0</v>
      </c>
      <c r="AA32" s="18">
        <v>0</v>
      </c>
      <c r="AB32" s="18">
        <v>0</v>
      </c>
      <c r="AC32" s="18">
        <f t="shared" si="0"/>
        <v>0</v>
      </c>
      <c r="AD32" s="64">
        <f t="shared" si="1"/>
        <v>0</v>
      </c>
      <c r="AE32" s="65">
        <f t="shared" si="9"/>
        <v>0</v>
      </c>
    </row>
    <row r="33" spans="1:31" ht="27.75" customHeight="1">
      <c r="A33" s="159"/>
      <c r="B33" s="159"/>
      <c r="U33" s="61">
        <f t="shared" si="6"/>
        <v>693598</v>
      </c>
      <c r="V33" s="62">
        <f t="shared" si="7"/>
        <v>0</v>
      </c>
      <c r="W33" s="59"/>
      <c r="X33" s="63">
        <f t="shared" si="8"/>
        <v>0</v>
      </c>
      <c r="Y33" s="18">
        <v>0</v>
      </c>
      <c r="Z33" s="18">
        <v>0</v>
      </c>
      <c r="AA33" s="18">
        <v>0</v>
      </c>
      <c r="AB33" s="18">
        <v>0</v>
      </c>
      <c r="AC33" s="18">
        <f t="shared" si="0"/>
        <v>0</v>
      </c>
      <c r="AD33" s="64">
        <f t="shared" si="1"/>
        <v>0</v>
      </c>
      <c r="AE33" s="65">
        <f t="shared" si="9"/>
        <v>0</v>
      </c>
    </row>
    <row r="34" spans="1:31" ht="27.75" customHeight="1">
      <c r="A34" s="159"/>
      <c r="B34" s="159"/>
      <c r="U34" s="61">
        <f t="shared" si="6"/>
        <v>693598</v>
      </c>
      <c r="V34" s="62">
        <f t="shared" si="7"/>
        <v>0</v>
      </c>
      <c r="W34" s="59"/>
      <c r="X34" s="63">
        <f t="shared" si="8"/>
        <v>0</v>
      </c>
      <c r="Y34" s="18">
        <v>0</v>
      </c>
      <c r="Z34" s="18">
        <v>0</v>
      </c>
      <c r="AA34" s="18">
        <v>0</v>
      </c>
      <c r="AB34" s="18">
        <v>0</v>
      </c>
      <c r="AC34" s="18">
        <f t="shared" si="0"/>
        <v>0</v>
      </c>
      <c r="AD34" s="64">
        <f t="shared" si="1"/>
        <v>0</v>
      </c>
      <c r="AE34" s="65">
        <f t="shared" si="9"/>
        <v>0</v>
      </c>
    </row>
    <row r="35" spans="1:31" ht="27.75" customHeight="1">
      <c r="A35" s="159"/>
      <c r="B35" s="159"/>
      <c r="U35" s="61">
        <f t="shared" si="6"/>
        <v>693598</v>
      </c>
      <c r="V35" s="62">
        <f t="shared" si="7"/>
        <v>0</v>
      </c>
      <c r="W35" s="59"/>
      <c r="X35" s="63">
        <f t="shared" si="8"/>
        <v>0</v>
      </c>
      <c r="Y35" s="18">
        <v>0</v>
      </c>
      <c r="Z35" s="18">
        <v>0</v>
      </c>
      <c r="AA35" s="18">
        <v>0</v>
      </c>
      <c r="AB35" s="18">
        <v>0</v>
      </c>
      <c r="AC35" s="18">
        <f t="shared" si="0"/>
        <v>0</v>
      </c>
      <c r="AD35" s="64">
        <f t="shared" si="1"/>
        <v>0</v>
      </c>
      <c r="AE35" s="65">
        <f t="shared" si="9"/>
        <v>0</v>
      </c>
    </row>
    <row r="36" spans="1:31" ht="27.75" customHeight="1">
      <c r="A36" s="159"/>
      <c r="B36" s="159"/>
      <c r="U36" s="61">
        <f t="shared" si="6"/>
        <v>693598</v>
      </c>
      <c r="V36" s="62">
        <f t="shared" si="7"/>
        <v>0</v>
      </c>
      <c r="W36" s="59"/>
      <c r="X36" s="63">
        <f t="shared" si="8"/>
        <v>0</v>
      </c>
      <c r="Y36" s="18">
        <v>0</v>
      </c>
      <c r="Z36" s="18">
        <v>0</v>
      </c>
      <c r="AA36" s="18">
        <v>0</v>
      </c>
      <c r="AB36" s="18">
        <v>0</v>
      </c>
      <c r="AC36" s="18">
        <f t="shared" si="0"/>
        <v>0</v>
      </c>
      <c r="AD36" s="64">
        <f t="shared" si="1"/>
        <v>0</v>
      </c>
      <c r="AE36" s="65">
        <f t="shared" si="9"/>
        <v>0</v>
      </c>
    </row>
    <row r="37" spans="1:31" ht="27.75" customHeight="1">
      <c r="A37" s="159"/>
      <c r="B37" s="159"/>
      <c r="U37" s="61">
        <f t="shared" si="6"/>
        <v>693598</v>
      </c>
      <c r="V37" s="62">
        <f t="shared" si="7"/>
        <v>0</v>
      </c>
      <c r="W37" s="59"/>
      <c r="X37" s="63">
        <f t="shared" si="8"/>
        <v>0</v>
      </c>
      <c r="Y37" s="18">
        <v>0</v>
      </c>
      <c r="Z37" s="18">
        <v>0</v>
      </c>
      <c r="AA37" s="18">
        <v>0</v>
      </c>
      <c r="AB37" s="18">
        <v>0</v>
      </c>
      <c r="AC37" s="18">
        <f t="shared" si="0"/>
        <v>0</v>
      </c>
      <c r="AD37" s="64">
        <f t="shared" si="1"/>
        <v>0</v>
      </c>
      <c r="AE37" s="65">
        <f t="shared" si="9"/>
        <v>0</v>
      </c>
    </row>
    <row r="38" spans="1:31" ht="27.75" customHeight="1">
      <c r="A38" s="159"/>
      <c r="B38" s="159"/>
      <c r="U38" s="61">
        <f t="shared" si="6"/>
        <v>693598</v>
      </c>
      <c r="V38" s="62">
        <f t="shared" si="7"/>
        <v>0</v>
      </c>
      <c r="W38" s="59"/>
      <c r="X38" s="63">
        <f t="shared" si="8"/>
        <v>0</v>
      </c>
      <c r="Y38" s="18">
        <v>0</v>
      </c>
      <c r="Z38" s="18">
        <v>0</v>
      </c>
      <c r="AA38" s="18">
        <v>0</v>
      </c>
      <c r="AB38" s="18">
        <v>0</v>
      </c>
      <c r="AC38" s="18">
        <f t="shared" si="0"/>
        <v>0</v>
      </c>
      <c r="AD38" s="64">
        <f t="shared" si="1"/>
        <v>0</v>
      </c>
      <c r="AE38" s="65">
        <f t="shared" si="9"/>
        <v>0</v>
      </c>
    </row>
    <row r="39" spans="1:31" ht="27.75" customHeight="1">
      <c r="A39" s="159"/>
      <c r="B39" s="159"/>
      <c r="U39" s="61">
        <f t="shared" si="6"/>
        <v>693598</v>
      </c>
      <c r="V39" s="62">
        <f t="shared" si="7"/>
        <v>0</v>
      </c>
      <c r="W39" s="59"/>
      <c r="X39" s="63">
        <f t="shared" si="8"/>
        <v>0</v>
      </c>
      <c r="Y39" s="18">
        <v>0</v>
      </c>
      <c r="Z39" s="18">
        <v>0</v>
      </c>
      <c r="AA39" s="18">
        <v>0</v>
      </c>
      <c r="AB39" s="18">
        <v>0</v>
      </c>
      <c r="AC39" s="18">
        <f t="shared" si="0"/>
        <v>0</v>
      </c>
      <c r="AD39" s="64">
        <f t="shared" si="1"/>
        <v>0</v>
      </c>
      <c r="AE39" s="65">
        <f t="shared" si="9"/>
        <v>0</v>
      </c>
    </row>
    <row r="40" spans="1:31" ht="27.75" customHeight="1">
      <c r="A40" s="159"/>
      <c r="B40" s="159"/>
      <c r="U40" s="61">
        <f t="shared" si="6"/>
        <v>693598</v>
      </c>
      <c r="V40" s="62">
        <f t="shared" si="7"/>
        <v>0</v>
      </c>
      <c r="W40" s="59"/>
      <c r="X40" s="63">
        <f t="shared" si="8"/>
        <v>0</v>
      </c>
      <c r="Y40" s="18">
        <v>0</v>
      </c>
      <c r="Z40" s="18">
        <v>0</v>
      </c>
      <c r="AA40" s="18">
        <v>0</v>
      </c>
      <c r="AB40" s="18">
        <v>0</v>
      </c>
      <c r="AC40" s="18">
        <f t="shared" si="0"/>
        <v>0</v>
      </c>
      <c r="AD40" s="64">
        <f t="shared" si="1"/>
        <v>0</v>
      </c>
      <c r="AE40" s="65">
        <f t="shared" si="9"/>
        <v>0</v>
      </c>
    </row>
    <row r="41" spans="1:2" ht="12.75">
      <c r="A41" s="159"/>
      <c r="B41" s="159"/>
    </row>
    <row r="42" spans="1:2" ht="12.75">
      <c r="A42" s="159"/>
      <c r="B42" s="159"/>
    </row>
    <row r="43" spans="1:2" ht="12.75">
      <c r="A43" s="159"/>
      <c r="B43" s="159"/>
    </row>
    <row r="44" spans="1:2" ht="12.75">
      <c r="A44" s="159"/>
      <c r="B44" s="159"/>
    </row>
    <row r="45" spans="1:2" ht="12.75">
      <c r="A45" s="159"/>
      <c r="B45" s="159"/>
    </row>
    <row r="46" spans="1:2" ht="12.75">
      <c r="A46" s="159"/>
      <c r="B46" s="159"/>
    </row>
    <row r="47" spans="1:2" ht="12.75">
      <c r="A47" s="159"/>
      <c r="B47" s="159"/>
    </row>
    <row r="48" spans="1:2" ht="12.75">
      <c r="A48" s="159"/>
      <c r="B48" s="159"/>
    </row>
    <row r="49" spans="1:2" ht="12.75">
      <c r="A49" s="159"/>
      <c r="B49" s="159"/>
    </row>
    <row r="50" spans="1:2" ht="12.75">
      <c r="A50" s="159"/>
      <c r="B50" s="159"/>
    </row>
    <row r="51" spans="1:2" ht="12.75">
      <c r="A51" s="159"/>
      <c r="B51" s="159"/>
    </row>
    <row r="52" spans="1:2" ht="12.75">
      <c r="A52" s="159"/>
      <c r="B52" s="159"/>
    </row>
    <row r="53" spans="1:2" ht="12.75">
      <c r="A53" s="159"/>
      <c r="B53" s="159"/>
    </row>
    <row r="54" spans="1:2" ht="12.75">
      <c r="A54" s="159"/>
      <c r="B54" s="159"/>
    </row>
    <row r="55" spans="1:2" ht="12.75">
      <c r="A55" s="159"/>
      <c r="B55" s="159"/>
    </row>
    <row r="56" spans="1:2" ht="12.75">
      <c r="A56" s="159"/>
      <c r="B56" s="159"/>
    </row>
    <row r="57" spans="1:2" ht="12.75">
      <c r="A57" s="159"/>
      <c r="B57" s="159"/>
    </row>
    <row r="58" spans="1:2" ht="12.75">
      <c r="A58" s="159"/>
      <c r="B58" s="159"/>
    </row>
    <row r="59" spans="1:2" ht="12.75">
      <c r="A59" s="159"/>
      <c r="B59" s="159"/>
    </row>
    <row r="60" spans="1:2" ht="12.75">
      <c r="A60" s="159"/>
      <c r="B60" s="159"/>
    </row>
    <row r="61" spans="1:2" ht="12.75">
      <c r="A61" s="159"/>
      <c r="B61" s="159"/>
    </row>
    <row r="62" spans="1:2" ht="12.75">
      <c r="A62" s="159"/>
      <c r="B62" s="159"/>
    </row>
    <row r="63" spans="1:2" ht="12.75">
      <c r="A63" s="159"/>
      <c r="B63" s="159"/>
    </row>
    <row r="64" spans="1:2" ht="12.75">
      <c r="A64" s="159"/>
      <c r="B64" s="159"/>
    </row>
    <row r="65" spans="1:2" ht="12.75">
      <c r="A65" s="159"/>
      <c r="B65" s="159"/>
    </row>
    <row r="66" spans="1:2" ht="12.75">
      <c r="A66" s="159"/>
      <c r="B66" s="159"/>
    </row>
    <row r="67" spans="1:2" ht="12.75">
      <c r="A67" s="159"/>
      <c r="B67" s="159"/>
    </row>
    <row r="68" spans="1:2" ht="12.75">
      <c r="A68" s="159"/>
      <c r="B68" s="159"/>
    </row>
    <row r="69" spans="1:2" ht="12.75">
      <c r="A69" s="159"/>
      <c r="B69" s="159"/>
    </row>
    <row r="70" spans="1:2" ht="12.75">
      <c r="A70" s="159"/>
      <c r="B70" s="159"/>
    </row>
    <row r="71" spans="1:2" ht="12.75">
      <c r="A71" s="159"/>
      <c r="B71" s="159"/>
    </row>
    <row r="72" spans="1:2" ht="12.75">
      <c r="A72" s="159"/>
      <c r="B72" s="159"/>
    </row>
    <row r="73" spans="1:2" ht="12.75">
      <c r="A73" s="159"/>
      <c r="B73" s="159"/>
    </row>
    <row r="74" spans="1:2" ht="12.75">
      <c r="A74" s="159"/>
      <c r="B74" s="159"/>
    </row>
    <row r="75" spans="1:2" ht="12.75">
      <c r="A75" s="159"/>
      <c r="B75" s="159"/>
    </row>
    <row r="76" spans="1:2" ht="12.75">
      <c r="A76" s="159"/>
      <c r="B76" s="159"/>
    </row>
    <row r="77" spans="1:2" ht="12.75">
      <c r="A77" s="159"/>
      <c r="B77" s="159"/>
    </row>
    <row r="78" spans="1:2" ht="12.75">
      <c r="A78" s="159"/>
      <c r="B78" s="159"/>
    </row>
    <row r="79" spans="1:2" ht="12.75">
      <c r="A79" s="159"/>
      <c r="B79" s="159"/>
    </row>
    <row r="80" spans="1:2" ht="12.75">
      <c r="A80" s="159"/>
      <c r="B80" s="159"/>
    </row>
    <row r="81" spans="1:2" ht="12.75">
      <c r="A81" s="159"/>
      <c r="B81" s="159"/>
    </row>
    <row r="82" spans="1:2" ht="12.75">
      <c r="A82" s="159"/>
      <c r="B82" s="159"/>
    </row>
    <row r="83" spans="1:2" ht="12.75">
      <c r="A83" s="159"/>
      <c r="B83" s="159"/>
    </row>
    <row r="84" spans="1:2" ht="12.75">
      <c r="A84" s="159"/>
      <c r="B84" s="159"/>
    </row>
    <row r="85" spans="1:2" ht="12.75">
      <c r="A85" s="159"/>
      <c r="B85" s="159"/>
    </row>
    <row r="86" spans="1:2" ht="12.75">
      <c r="A86" s="159"/>
      <c r="B86" s="159"/>
    </row>
    <row r="87" spans="1:2" ht="12.75">
      <c r="A87" s="159"/>
      <c r="B87" s="159"/>
    </row>
    <row r="88" spans="1:2" ht="12.75">
      <c r="A88" s="159"/>
      <c r="B88" s="159"/>
    </row>
    <row r="89" spans="1:2" ht="12.75">
      <c r="A89" s="159"/>
      <c r="B89" s="159"/>
    </row>
    <row r="90" spans="1:2" ht="12.75">
      <c r="A90" s="159"/>
      <c r="B90" s="159"/>
    </row>
    <row r="91" spans="1:2" ht="12.75">
      <c r="A91" s="159"/>
      <c r="B91" s="159"/>
    </row>
    <row r="92" spans="1:2" ht="12.75">
      <c r="A92" s="159"/>
      <c r="B92" s="159"/>
    </row>
    <row r="93" spans="1:2" ht="12.75">
      <c r="A93" s="159"/>
      <c r="B93" s="159"/>
    </row>
    <row r="94" spans="1:11" ht="12.75">
      <c r="A94" s="159"/>
      <c r="B94" s="159"/>
      <c r="K94" s="158" t="s">
        <v>129</v>
      </c>
    </row>
    <row r="95" spans="1:11" ht="12.75">
      <c r="A95" s="143"/>
      <c r="B95" s="159"/>
      <c r="K95" s="158" t="s">
        <v>118</v>
      </c>
    </row>
    <row r="96" ht="12.75">
      <c r="K96" s="158" t="s">
        <v>126</v>
      </c>
    </row>
    <row r="97" ht="12.75">
      <c r="K97" s="158" t="s">
        <v>127</v>
      </c>
    </row>
    <row r="101" ht="12.75" hidden="1"/>
    <row r="102" ht="12.75" hidden="1">
      <c r="F102" s="158" t="s">
        <v>132</v>
      </c>
    </row>
    <row r="103" spans="2:19" ht="12.75" hidden="1">
      <c r="B103" s="144" t="s">
        <v>46</v>
      </c>
      <c r="C103" s="143">
        <v>0</v>
      </c>
      <c r="D103" s="143">
        <v>0</v>
      </c>
      <c r="E103" s="143">
        <v>0</v>
      </c>
      <c r="F103" s="69" t="str">
        <f>DAY(C6)&amp;"-"&amp;MONTH(C6)&amp;"-"&amp;YEAR(C6)</f>
        <v>10-9-2019</v>
      </c>
      <c r="G103" s="167" t="s">
        <v>115</v>
      </c>
      <c r="H103" s="168"/>
      <c r="I103" s="168"/>
      <c r="J103" s="168"/>
      <c r="K103" s="168"/>
      <c r="L103" s="168"/>
      <c r="M103" s="168"/>
      <c r="N103" s="168"/>
      <c r="O103" s="168"/>
      <c r="P103" s="168"/>
      <c r="Q103" s="168"/>
      <c r="R103" s="168"/>
      <c r="S103" s="168"/>
    </row>
    <row r="104" spans="2:21" ht="12.75" hidden="1">
      <c r="B104" s="144" t="s">
        <v>47</v>
      </c>
      <c r="C104" s="142">
        <v>13000</v>
      </c>
      <c r="D104" s="142">
        <v>390</v>
      </c>
      <c r="E104" s="142">
        <f aca="true" t="shared" si="10" ref="E104:E135">C104+D104</f>
        <v>13390</v>
      </c>
      <c r="G104" s="169"/>
      <c r="H104" s="170"/>
      <c r="I104" s="170"/>
      <c r="J104" s="170"/>
      <c r="K104" s="170"/>
      <c r="L104" s="170"/>
      <c r="M104" s="170"/>
      <c r="N104" s="170"/>
      <c r="O104" s="170"/>
      <c r="P104" s="170"/>
      <c r="Q104" s="170"/>
      <c r="R104" s="170"/>
      <c r="S104" s="170"/>
      <c r="T104" s="158" t="s">
        <v>130</v>
      </c>
      <c r="U104" s="158" t="s">
        <v>131</v>
      </c>
    </row>
    <row r="105" spans="2:19" ht="12.75" hidden="1">
      <c r="B105" s="144" t="s">
        <v>48</v>
      </c>
      <c r="C105" s="142">
        <f>E104</f>
        <v>13390</v>
      </c>
      <c r="D105" s="142">
        <v>390</v>
      </c>
      <c r="E105" s="142">
        <f t="shared" si="10"/>
        <v>13780</v>
      </c>
      <c r="G105" s="152" t="s">
        <v>18</v>
      </c>
      <c r="H105" s="152" t="s">
        <v>85</v>
      </c>
      <c r="I105" s="153" t="s">
        <v>116</v>
      </c>
      <c r="J105" s="154" t="s">
        <v>117</v>
      </c>
      <c r="K105" s="153" t="s">
        <v>118</v>
      </c>
      <c r="L105" s="155" t="s">
        <v>119</v>
      </c>
      <c r="M105" s="152" t="s">
        <v>120</v>
      </c>
      <c r="N105" s="152" t="s">
        <v>121</v>
      </c>
      <c r="O105" s="152" t="s">
        <v>122</v>
      </c>
      <c r="P105" s="155" t="s">
        <v>123</v>
      </c>
      <c r="Q105" s="152" t="s">
        <v>120</v>
      </c>
      <c r="R105" s="152" t="s">
        <v>121</v>
      </c>
      <c r="S105" s="152" t="s">
        <v>122</v>
      </c>
    </row>
    <row r="106" spans="2:21" ht="12.75" hidden="1">
      <c r="B106" s="144" t="s">
        <v>49</v>
      </c>
      <c r="C106" s="142">
        <f aca="true" t="shared" si="11" ref="C106:C145">E105</f>
        <v>13780</v>
      </c>
      <c r="D106" s="142">
        <v>390</v>
      </c>
      <c r="E106" s="142">
        <f t="shared" si="10"/>
        <v>14170</v>
      </c>
      <c r="G106" s="156">
        <v>1</v>
      </c>
      <c r="H106" s="156">
        <v>16400</v>
      </c>
      <c r="I106" s="157">
        <v>400</v>
      </c>
      <c r="J106" s="157">
        <v>250</v>
      </c>
      <c r="K106" s="157">
        <v>200</v>
      </c>
      <c r="L106" s="152">
        <f>'Form 49 '!$O$10</f>
        <v>44870</v>
      </c>
      <c r="M106" s="152">
        <f>IF(C22=$K$94,IF(L106=0,0,LOOKUP(L106,$G$106:$G$109,$I$106:$I$109)),0)</f>
        <v>0</v>
      </c>
      <c r="N106" s="152">
        <f>IF(C22=$K$96,IF(L106=0,0,LOOKUP(L106,$G$106:$G$109,$J$106:$J$109)),0)+IF(C22=$K$97,IF(L106=0,0,LOOKUP(L106,$G$106:$G$109,$J$106:$J$109)),0)</f>
        <v>0</v>
      </c>
      <c r="O106" s="152">
        <f>IF(C22=$K$95,IF(L106=0,0,LOOKUP(L106,$G$106:$G$109,$K$106:$K$109)),0)</f>
        <v>0</v>
      </c>
      <c r="P106" s="152">
        <f>'Form 49 '!$M$10</f>
        <v>43680</v>
      </c>
      <c r="Q106" s="152">
        <f>IF(G22=$K$94,IF(P106=0,0,LOOKUP(P106,$G$106:$G$109,$I$106:$I$109)),0)</f>
        <v>0</v>
      </c>
      <c r="R106" s="152">
        <f>IF(C22=$K$96,IF(L106=0,0,LOOKUP(P106,$G$106:$G$109,$J$106:$J$109)),0)+IF(C22=$K$97,IF(P106=0,0,LOOKUP(L106,$G$106:$G$109,$J$106:$J$109)),0)</f>
        <v>0</v>
      </c>
      <c r="S106" s="152">
        <f>IF(G22=$K$95,IF(P106=0,0,LOOKUP(P106,$G$106:$G$109,$K$106:$K$109)),0)</f>
        <v>0</v>
      </c>
      <c r="T106" s="69">
        <f>M106+N106+O106</f>
        <v>0</v>
      </c>
      <c r="U106" s="69">
        <f>Q106+R106+S106</f>
        <v>0</v>
      </c>
    </row>
    <row r="107" spans="2:19" ht="12.75" hidden="1">
      <c r="B107" s="144" t="s">
        <v>50</v>
      </c>
      <c r="C107" s="142">
        <f t="shared" si="11"/>
        <v>14170</v>
      </c>
      <c r="D107" s="142">
        <v>430</v>
      </c>
      <c r="E107" s="142">
        <f t="shared" si="10"/>
        <v>14600</v>
      </c>
      <c r="G107" s="156">
        <f>H106+1</f>
        <v>16401</v>
      </c>
      <c r="H107" s="156">
        <v>28940</v>
      </c>
      <c r="I107" s="157">
        <v>600</v>
      </c>
      <c r="J107" s="157">
        <v>350</v>
      </c>
      <c r="K107" s="157">
        <v>300</v>
      </c>
      <c r="L107" s="152"/>
      <c r="M107" s="152"/>
      <c r="N107" s="152"/>
      <c r="O107" s="152"/>
      <c r="P107" s="152"/>
      <c r="Q107" s="152"/>
      <c r="R107" s="152"/>
      <c r="S107" s="152"/>
    </row>
    <row r="108" spans="2:19" ht="12.75" hidden="1">
      <c r="B108" s="144" t="s">
        <v>51</v>
      </c>
      <c r="C108" s="142">
        <f t="shared" si="11"/>
        <v>14600</v>
      </c>
      <c r="D108" s="142">
        <v>430</v>
      </c>
      <c r="E108" s="142">
        <f t="shared" si="10"/>
        <v>15030</v>
      </c>
      <c r="G108" s="156">
        <f>H107+1</f>
        <v>28941</v>
      </c>
      <c r="H108" s="156">
        <v>37100</v>
      </c>
      <c r="I108" s="157">
        <v>700</v>
      </c>
      <c r="J108" s="157">
        <v>450</v>
      </c>
      <c r="K108" s="157">
        <v>350</v>
      </c>
      <c r="L108" s="152"/>
      <c r="M108" s="152"/>
      <c r="N108" s="152"/>
      <c r="O108" s="152"/>
      <c r="P108" s="152"/>
      <c r="Q108" s="152"/>
      <c r="R108" s="152"/>
      <c r="S108" s="152"/>
    </row>
    <row r="109" spans="2:19" ht="12.75" hidden="1">
      <c r="B109" s="144" t="s">
        <v>52</v>
      </c>
      <c r="C109" s="142">
        <f t="shared" si="11"/>
        <v>15030</v>
      </c>
      <c r="D109" s="142">
        <v>430</v>
      </c>
      <c r="E109" s="142">
        <f t="shared" si="10"/>
        <v>15460</v>
      </c>
      <c r="G109" s="156">
        <f>H108+1</f>
        <v>37101</v>
      </c>
      <c r="H109" s="156"/>
      <c r="I109" s="157">
        <v>1000</v>
      </c>
      <c r="J109" s="157">
        <v>700</v>
      </c>
      <c r="K109" s="157">
        <v>500</v>
      </c>
      <c r="L109" s="152"/>
      <c r="M109" s="152"/>
      <c r="N109" s="152"/>
      <c r="O109" s="152"/>
      <c r="P109" s="152"/>
      <c r="Q109" s="152"/>
      <c r="R109" s="152"/>
      <c r="S109" s="152"/>
    </row>
    <row r="110" spans="2:5" ht="12.75" hidden="1">
      <c r="B110" s="144" t="s">
        <v>53</v>
      </c>
      <c r="C110" s="142">
        <f t="shared" si="11"/>
        <v>15460</v>
      </c>
      <c r="D110" s="142">
        <v>470</v>
      </c>
      <c r="E110" s="142">
        <f t="shared" si="10"/>
        <v>15930</v>
      </c>
    </row>
    <row r="111" spans="2:5" ht="12.75" hidden="1">
      <c r="B111" s="144" t="s">
        <v>54</v>
      </c>
      <c r="C111" s="142">
        <f t="shared" si="11"/>
        <v>15930</v>
      </c>
      <c r="D111" s="142">
        <v>470</v>
      </c>
      <c r="E111" s="142">
        <f t="shared" si="10"/>
        <v>16400</v>
      </c>
    </row>
    <row r="112" spans="2:5" ht="12.75" hidden="1">
      <c r="B112" s="144" t="s">
        <v>55</v>
      </c>
      <c r="C112" s="142">
        <f t="shared" si="11"/>
        <v>16400</v>
      </c>
      <c r="D112" s="142">
        <v>470</v>
      </c>
      <c r="E112" s="142">
        <f t="shared" si="10"/>
        <v>16870</v>
      </c>
    </row>
    <row r="113" spans="2:5" ht="12.75" hidden="1">
      <c r="B113" s="144" t="s">
        <v>56</v>
      </c>
      <c r="C113" s="142">
        <f t="shared" si="11"/>
        <v>16870</v>
      </c>
      <c r="D113" s="142">
        <v>510</v>
      </c>
      <c r="E113" s="142">
        <f t="shared" si="10"/>
        <v>17380</v>
      </c>
    </row>
    <row r="114" spans="2:5" ht="12.75" hidden="1">
      <c r="B114" s="144" t="s">
        <v>57</v>
      </c>
      <c r="C114" s="142">
        <f t="shared" si="11"/>
        <v>17380</v>
      </c>
      <c r="D114" s="142">
        <v>510</v>
      </c>
      <c r="E114" s="142">
        <f t="shared" si="10"/>
        <v>17890</v>
      </c>
    </row>
    <row r="115" spans="2:5" ht="12.75" hidden="1">
      <c r="B115" s="144" t="s">
        <v>58</v>
      </c>
      <c r="C115" s="142">
        <f t="shared" si="11"/>
        <v>17890</v>
      </c>
      <c r="D115" s="142">
        <v>510</v>
      </c>
      <c r="E115" s="142">
        <f t="shared" si="10"/>
        <v>18400</v>
      </c>
    </row>
    <row r="116" spans="2:5" ht="12.75" hidden="1">
      <c r="B116" s="144" t="s">
        <v>59</v>
      </c>
      <c r="C116" s="142">
        <f t="shared" si="11"/>
        <v>18400</v>
      </c>
      <c r="D116" s="142">
        <v>550</v>
      </c>
      <c r="E116" s="142">
        <f t="shared" si="10"/>
        <v>18950</v>
      </c>
    </row>
    <row r="117" spans="2:5" ht="12.75" hidden="1">
      <c r="B117" s="144" t="s">
        <v>60</v>
      </c>
      <c r="C117" s="142">
        <f t="shared" si="11"/>
        <v>18950</v>
      </c>
      <c r="D117" s="142">
        <v>550</v>
      </c>
      <c r="E117" s="142">
        <f t="shared" si="10"/>
        <v>19500</v>
      </c>
    </row>
    <row r="118" spans="2:5" ht="12.75" hidden="1">
      <c r="B118" s="144" t="s">
        <v>61</v>
      </c>
      <c r="C118" s="142">
        <f t="shared" si="11"/>
        <v>19500</v>
      </c>
      <c r="D118" s="142">
        <v>550</v>
      </c>
      <c r="E118" s="142">
        <f t="shared" si="10"/>
        <v>20050</v>
      </c>
    </row>
    <row r="119" spans="2:5" ht="12.75" hidden="1">
      <c r="B119" s="144" t="s">
        <v>62</v>
      </c>
      <c r="C119" s="142">
        <f t="shared" si="11"/>
        <v>20050</v>
      </c>
      <c r="D119" s="142">
        <v>590</v>
      </c>
      <c r="E119" s="142">
        <f t="shared" si="10"/>
        <v>20640</v>
      </c>
    </row>
    <row r="120" spans="2:5" ht="12.75" hidden="1">
      <c r="B120" s="144" t="s">
        <v>63</v>
      </c>
      <c r="C120" s="142">
        <f t="shared" si="11"/>
        <v>20640</v>
      </c>
      <c r="D120" s="142">
        <v>590</v>
      </c>
      <c r="E120" s="142">
        <f t="shared" si="10"/>
        <v>21230</v>
      </c>
    </row>
    <row r="121" spans="2:5" ht="12.75" hidden="1">
      <c r="B121" s="144" t="s">
        <v>64</v>
      </c>
      <c r="C121" s="142">
        <f t="shared" si="11"/>
        <v>21230</v>
      </c>
      <c r="D121" s="142">
        <v>590</v>
      </c>
      <c r="E121" s="142">
        <f t="shared" si="10"/>
        <v>21820</v>
      </c>
    </row>
    <row r="122" spans="2:5" ht="12.75" hidden="1">
      <c r="B122" s="144" t="s">
        <v>65</v>
      </c>
      <c r="C122" s="142">
        <f t="shared" si="11"/>
        <v>21820</v>
      </c>
      <c r="D122" s="142">
        <v>640</v>
      </c>
      <c r="E122" s="142">
        <f t="shared" si="10"/>
        <v>22460</v>
      </c>
    </row>
    <row r="123" spans="2:5" ht="12.75" hidden="1">
      <c r="B123" s="144" t="s">
        <v>66</v>
      </c>
      <c r="C123" s="142">
        <f t="shared" si="11"/>
        <v>22460</v>
      </c>
      <c r="D123" s="142">
        <v>640</v>
      </c>
      <c r="E123" s="142">
        <f t="shared" si="10"/>
        <v>23100</v>
      </c>
    </row>
    <row r="124" spans="2:5" ht="12.75" hidden="1">
      <c r="B124" s="144" t="s">
        <v>67</v>
      </c>
      <c r="C124" s="142">
        <f t="shared" si="11"/>
        <v>23100</v>
      </c>
      <c r="D124" s="142">
        <v>640</v>
      </c>
      <c r="E124" s="142">
        <f t="shared" si="10"/>
        <v>23740</v>
      </c>
    </row>
    <row r="125" spans="2:5" ht="12.75" hidden="1">
      <c r="B125" s="144" t="s">
        <v>68</v>
      </c>
      <c r="C125" s="142">
        <f t="shared" si="11"/>
        <v>23740</v>
      </c>
      <c r="D125" s="142">
        <v>700</v>
      </c>
      <c r="E125" s="142">
        <f t="shared" si="10"/>
        <v>24440</v>
      </c>
    </row>
    <row r="126" spans="2:5" ht="12.75" hidden="1">
      <c r="B126" s="144" t="s">
        <v>69</v>
      </c>
      <c r="C126" s="142">
        <f t="shared" si="11"/>
        <v>24440</v>
      </c>
      <c r="D126" s="142">
        <v>700</v>
      </c>
      <c r="E126" s="142">
        <f t="shared" si="10"/>
        <v>25140</v>
      </c>
    </row>
    <row r="127" spans="2:5" ht="12.75" hidden="1">
      <c r="B127" s="144" t="s">
        <v>70</v>
      </c>
      <c r="C127" s="142">
        <f t="shared" si="11"/>
        <v>25140</v>
      </c>
      <c r="D127" s="142">
        <v>700</v>
      </c>
      <c r="E127" s="142">
        <f t="shared" si="10"/>
        <v>25840</v>
      </c>
    </row>
    <row r="128" spans="2:5" ht="12.75" hidden="1">
      <c r="B128" s="144" t="s">
        <v>71</v>
      </c>
      <c r="C128" s="142">
        <f t="shared" si="11"/>
        <v>25840</v>
      </c>
      <c r="D128" s="142">
        <v>760</v>
      </c>
      <c r="E128" s="142">
        <f t="shared" si="10"/>
        <v>26600</v>
      </c>
    </row>
    <row r="129" spans="2:5" ht="12.75" hidden="1">
      <c r="B129" s="144" t="s">
        <v>72</v>
      </c>
      <c r="C129" s="142">
        <f t="shared" si="11"/>
        <v>26600</v>
      </c>
      <c r="D129" s="142">
        <v>760</v>
      </c>
      <c r="E129" s="142">
        <f t="shared" si="10"/>
        <v>27360</v>
      </c>
    </row>
    <row r="130" spans="2:5" ht="12.75" hidden="1">
      <c r="B130" s="144" t="s">
        <v>73</v>
      </c>
      <c r="C130" s="142">
        <f t="shared" si="11"/>
        <v>27360</v>
      </c>
      <c r="D130" s="142">
        <v>760</v>
      </c>
      <c r="E130" s="142">
        <f t="shared" si="10"/>
        <v>28120</v>
      </c>
    </row>
    <row r="131" spans="2:5" ht="12.75" hidden="1">
      <c r="B131" s="144" t="s">
        <v>74</v>
      </c>
      <c r="C131" s="142">
        <f t="shared" si="11"/>
        <v>28120</v>
      </c>
      <c r="D131" s="142">
        <v>820</v>
      </c>
      <c r="E131" s="142">
        <f t="shared" si="10"/>
        <v>28940</v>
      </c>
    </row>
    <row r="132" spans="2:5" ht="12.75" hidden="1">
      <c r="B132" s="144" t="s">
        <v>75</v>
      </c>
      <c r="C132" s="142">
        <f t="shared" si="11"/>
        <v>28940</v>
      </c>
      <c r="D132" s="142">
        <v>820</v>
      </c>
      <c r="E132" s="142">
        <f t="shared" si="10"/>
        <v>29760</v>
      </c>
    </row>
    <row r="133" spans="2:5" ht="12.75" hidden="1">
      <c r="B133" s="144" t="s">
        <v>76</v>
      </c>
      <c r="C133" s="142">
        <f t="shared" si="11"/>
        <v>29760</v>
      </c>
      <c r="D133" s="142">
        <v>820</v>
      </c>
      <c r="E133" s="142">
        <f t="shared" si="10"/>
        <v>30580</v>
      </c>
    </row>
    <row r="134" spans="2:5" ht="12.75" hidden="1">
      <c r="B134" s="144" t="s">
        <v>77</v>
      </c>
      <c r="C134" s="142">
        <f t="shared" si="11"/>
        <v>30580</v>
      </c>
      <c r="D134" s="142">
        <v>880</v>
      </c>
      <c r="E134" s="142">
        <f t="shared" si="10"/>
        <v>31460</v>
      </c>
    </row>
    <row r="135" spans="2:5" ht="12.75" hidden="1">
      <c r="B135" s="145"/>
      <c r="C135" s="142">
        <f t="shared" si="11"/>
        <v>31460</v>
      </c>
      <c r="D135" s="142">
        <v>880</v>
      </c>
      <c r="E135" s="142">
        <f t="shared" si="10"/>
        <v>32340</v>
      </c>
    </row>
    <row r="136" spans="2:5" ht="12.75" hidden="1">
      <c r="B136" s="145"/>
      <c r="C136" s="142">
        <f t="shared" si="11"/>
        <v>32340</v>
      </c>
      <c r="D136" s="142">
        <v>880</v>
      </c>
      <c r="E136" s="142">
        <f aca="true" t="shared" si="12" ref="E136:E167">C136+D136</f>
        <v>33220</v>
      </c>
    </row>
    <row r="137" spans="2:5" ht="12.75" hidden="1">
      <c r="B137" s="145"/>
      <c r="C137" s="142">
        <f t="shared" si="11"/>
        <v>33220</v>
      </c>
      <c r="D137" s="142">
        <v>950</v>
      </c>
      <c r="E137" s="142">
        <f t="shared" si="12"/>
        <v>34170</v>
      </c>
    </row>
    <row r="138" spans="2:5" ht="12.75" hidden="1">
      <c r="B138" s="145"/>
      <c r="C138" s="142">
        <f t="shared" si="11"/>
        <v>34170</v>
      </c>
      <c r="D138" s="142">
        <v>950</v>
      </c>
      <c r="E138" s="142">
        <f t="shared" si="12"/>
        <v>35120</v>
      </c>
    </row>
    <row r="139" spans="2:5" ht="12.75" hidden="1">
      <c r="B139" s="145"/>
      <c r="C139" s="142">
        <f t="shared" si="11"/>
        <v>35120</v>
      </c>
      <c r="D139" s="142">
        <v>950</v>
      </c>
      <c r="E139" s="142">
        <f t="shared" si="12"/>
        <v>36070</v>
      </c>
    </row>
    <row r="140" spans="2:5" ht="12.75" hidden="1">
      <c r="B140" s="145"/>
      <c r="C140" s="142">
        <f t="shared" si="11"/>
        <v>36070</v>
      </c>
      <c r="D140" s="142">
        <v>1030</v>
      </c>
      <c r="E140" s="142">
        <f t="shared" si="12"/>
        <v>37100</v>
      </c>
    </row>
    <row r="141" spans="2:5" ht="12.75" hidden="1">
      <c r="B141" s="145"/>
      <c r="C141" s="142">
        <f>E140</f>
        <v>37100</v>
      </c>
      <c r="D141" s="142">
        <v>1030</v>
      </c>
      <c r="E141" s="142">
        <f t="shared" si="12"/>
        <v>38130</v>
      </c>
    </row>
    <row r="142" spans="2:5" ht="12.75" hidden="1">
      <c r="B142" s="145"/>
      <c r="C142" s="142">
        <f t="shared" si="11"/>
        <v>38130</v>
      </c>
      <c r="D142" s="142">
        <v>1030</v>
      </c>
      <c r="E142" s="142">
        <f t="shared" si="12"/>
        <v>39160</v>
      </c>
    </row>
    <row r="143" spans="2:5" ht="12.75" hidden="1">
      <c r="B143" s="145"/>
      <c r="C143" s="142">
        <f t="shared" si="11"/>
        <v>39160</v>
      </c>
      <c r="D143" s="142">
        <v>1110</v>
      </c>
      <c r="E143" s="142">
        <f t="shared" si="12"/>
        <v>40270</v>
      </c>
    </row>
    <row r="144" spans="2:5" ht="12.75" hidden="1">
      <c r="B144" s="145"/>
      <c r="C144" s="142">
        <f t="shared" si="11"/>
        <v>40270</v>
      </c>
      <c r="D144" s="142">
        <v>1110</v>
      </c>
      <c r="E144" s="142">
        <f t="shared" si="12"/>
        <v>41380</v>
      </c>
    </row>
    <row r="145" spans="2:5" ht="12.75" hidden="1">
      <c r="B145" s="145"/>
      <c r="C145" s="142">
        <f t="shared" si="11"/>
        <v>41380</v>
      </c>
      <c r="D145" s="142">
        <v>1110</v>
      </c>
      <c r="E145" s="142">
        <f t="shared" si="12"/>
        <v>42490</v>
      </c>
    </row>
    <row r="146" spans="2:5" ht="12.75" hidden="1">
      <c r="B146" s="145"/>
      <c r="C146" s="142">
        <f>E145</f>
        <v>42490</v>
      </c>
      <c r="D146" s="142">
        <v>1190</v>
      </c>
      <c r="E146" s="142">
        <f t="shared" si="12"/>
        <v>43680</v>
      </c>
    </row>
    <row r="147" spans="2:5" ht="12.75" hidden="1">
      <c r="B147" s="145"/>
      <c r="C147" s="142">
        <f aca="true" t="shared" si="13" ref="C147:C155">E146</f>
        <v>43680</v>
      </c>
      <c r="D147" s="142">
        <v>1190</v>
      </c>
      <c r="E147" s="142">
        <f t="shared" si="12"/>
        <v>44870</v>
      </c>
    </row>
    <row r="148" spans="2:5" ht="12.75" hidden="1">
      <c r="B148" s="145"/>
      <c r="C148" s="142">
        <f t="shared" si="13"/>
        <v>44870</v>
      </c>
      <c r="D148" s="142">
        <v>1190</v>
      </c>
      <c r="E148" s="142">
        <f t="shared" si="12"/>
        <v>46060</v>
      </c>
    </row>
    <row r="149" spans="2:5" ht="12.75" hidden="1">
      <c r="B149" s="145"/>
      <c r="C149" s="142">
        <f t="shared" si="13"/>
        <v>46060</v>
      </c>
      <c r="D149" s="142">
        <v>1270</v>
      </c>
      <c r="E149" s="142">
        <f t="shared" si="12"/>
        <v>47330</v>
      </c>
    </row>
    <row r="150" spans="2:5" ht="12.75" hidden="1">
      <c r="B150" s="145"/>
      <c r="C150" s="142">
        <f t="shared" si="13"/>
        <v>47330</v>
      </c>
      <c r="D150" s="142">
        <v>1270</v>
      </c>
      <c r="E150" s="142">
        <f t="shared" si="12"/>
        <v>48600</v>
      </c>
    </row>
    <row r="151" spans="2:5" ht="12.75" hidden="1">
      <c r="B151" s="145"/>
      <c r="C151" s="142">
        <f t="shared" si="13"/>
        <v>48600</v>
      </c>
      <c r="D151" s="142">
        <v>1270</v>
      </c>
      <c r="E151" s="142">
        <f t="shared" si="12"/>
        <v>49870</v>
      </c>
    </row>
    <row r="152" spans="2:5" ht="12.75" hidden="1">
      <c r="B152" s="145"/>
      <c r="C152" s="142">
        <f t="shared" si="13"/>
        <v>49870</v>
      </c>
      <c r="D152" s="142">
        <v>1360</v>
      </c>
      <c r="E152" s="142">
        <f t="shared" si="12"/>
        <v>51230</v>
      </c>
    </row>
    <row r="153" spans="2:5" ht="12.75" hidden="1">
      <c r="B153" s="145"/>
      <c r="C153" s="142">
        <f t="shared" si="13"/>
        <v>51230</v>
      </c>
      <c r="D153" s="142">
        <v>1360</v>
      </c>
      <c r="E153" s="142">
        <f t="shared" si="12"/>
        <v>52590</v>
      </c>
    </row>
    <row r="154" spans="2:5" ht="12.75" hidden="1">
      <c r="B154" s="145"/>
      <c r="C154" s="142">
        <f t="shared" si="13"/>
        <v>52590</v>
      </c>
      <c r="D154" s="142">
        <v>1360</v>
      </c>
      <c r="E154" s="142">
        <f t="shared" si="12"/>
        <v>53950</v>
      </c>
    </row>
    <row r="155" spans="2:5" ht="12.75" hidden="1">
      <c r="B155" s="145"/>
      <c r="C155" s="142">
        <f t="shared" si="13"/>
        <v>53950</v>
      </c>
      <c r="D155" s="142">
        <v>1460</v>
      </c>
      <c r="E155" s="142">
        <f t="shared" si="12"/>
        <v>55410</v>
      </c>
    </row>
    <row r="156" spans="2:5" ht="12.75" hidden="1">
      <c r="B156" s="145"/>
      <c r="C156" s="142">
        <f>E155</f>
        <v>55410</v>
      </c>
      <c r="D156" s="142">
        <v>1460</v>
      </c>
      <c r="E156" s="142">
        <f t="shared" si="12"/>
        <v>56870</v>
      </c>
    </row>
    <row r="157" spans="2:5" ht="12.75" hidden="1">
      <c r="B157" s="145"/>
      <c r="C157" s="142">
        <f aca="true" t="shared" si="14" ref="C157:C183">E156</f>
        <v>56870</v>
      </c>
      <c r="D157" s="142">
        <v>1460</v>
      </c>
      <c r="E157" s="142">
        <f t="shared" si="12"/>
        <v>58330</v>
      </c>
    </row>
    <row r="158" spans="2:5" ht="12.75" hidden="1">
      <c r="B158" s="145"/>
      <c r="C158" s="142">
        <f t="shared" si="14"/>
        <v>58330</v>
      </c>
      <c r="D158" s="142">
        <v>1560</v>
      </c>
      <c r="E158" s="142">
        <f t="shared" si="12"/>
        <v>59890</v>
      </c>
    </row>
    <row r="159" spans="2:5" ht="12.75" hidden="1">
      <c r="B159" s="145"/>
      <c r="C159" s="142">
        <f t="shared" si="14"/>
        <v>59890</v>
      </c>
      <c r="D159" s="142">
        <v>1560</v>
      </c>
      <c r="E159" s="142">
        <f t="shared" si="12"/>
        <v>61450</v>
      </c>
    </row>
    <row r="160" spans="2:5" ht="12.75" hidden="1">
      <c r="B160" s="145"/>
      <c r="C160" s="142">
        <f t="shared" si="14"/>
        <v>61450</v>
      </c>
      <c r="D160" s="142">
        <v>1560</v>
      </c>
      <c r="E160" s="142">
        <f t="shared" si="12"/>
        <v>63010</v>
      </c>
    </row>
    <row r="161" spans="2:5" ht="12.75" hidden="1">
      <c r="B161" s="145"/>
      <c r="C161" s="142">
        <f t="shared" si="14"/>
        <v>63010</v>
      </c>
      <c r="D161" s="142">
        <v>1660</v>
      </c>
      <c r="E161" s="142">
        <f t="shared" si="12"/>
        <v>64670</v>
      </c>
    </row>
    <row r="162" spans="2:5" ht="12.75" hidden="1">
      <c r="B162" s="145"/>
      <c r="C162" s="142">
        <f t="shared" si="14"/>
        <v>64670</v>
      </c>
      <c r="D162" s="142">
        <v>1660</v>
      </c>
      <c r="E162" s="142">
        <f t="shared" si="12"/>
        <v>66330</v>
      </c>
    </row>
    <row r="163" spans="2:5" ht="12.75" hidden="1">
      <c r="B163" s="145"/>
      <c r="C163" s="142">
        <f t="shared" si="14"/>
        <v>66330</v>
      </c>
      <c r="D163" s="142">
        <v>1660</v>
      </c>
      <c r="E163" s="142">
        <f t="shared" si="12"/>
        <v>67990</v>
      </c>
    </row>
    <row r="164" spans="2:5" ht="12.75" hidden="1">
      <c r="B164" s="145"/>
      <c r="C164" s="142">
        <f t="shared" si="14"/>
        <v>67990</v>
      </c>
      <c r="D164" s="142">
        <v>1760</v>
      </c>
      <c r="E164" s="142">
        <f t="shared" si="12"/>
        <v>69750</v>
      </c>
    </row>
    <row r="165" spans="2:5" ht="12.75" hidden="1">
      <c r="B165" s="145"/>
      <c r="C165" s="142">
        <f t="shared" si="14"/>
        <v>69750</v>
      </c>
      <c r="D165" s="142">
        <v>1760</v>
      </c>
      <c r="E165" s="142">
        <f t="shared" si="12"/>
        <v>71510</v>
      </c>
    </row>
    <row r="166" spans="2:5" ht="12.75" hidden="1">
      <c r="B166" s="145"/>
      <c r="C166" s="142">
        <f t="shared" si="14"/>
        <v>71510</v>
      </c>
      <c r="D166" s="142">
        <v>1760</v>
      </c>
      <c r="E166" s="142">
        <f t="shared" si="12"/>
        <v>73270</v>
      </c>
    </row>
    <row r="167" spans="2:5" ht="12.75" hidden="1">
      <c r="B167" s="145"/>
      <c r="C167" s="142">
        <f t="shared" si="14"/>
        <v>73270</v>
      </c>
      <c r="D167" s="142">
        <v>1880</v>
      </c>
      <c r="E167" s="142">
        <f t="shared" si="12"/>
        <v>75150</v>
      </c>
    </row>
    <row r="168" spans="2:5" ht="12.75" hidden="1">
      <c r="B168" s="145"/>
      <c r="C168" s="142">
        <f t="shared" si="14"/>
        <v>75150</v>
      </c>
      <c r="D168" s="142">
        <v>1880</v>
      </c>
      <c r="E168" s="142">
        <f aca="true" t="shared" si="15" ref="E168:E183">C168+D168</f>
        <v>77030</v>
      </c>
    </row>
    <row r="169" spans="2:5" ht="12.75" hidden="1">
      <c r="B169" s="145"/>
      <c r="C169" s="142">
        <f t="shared" si="14"/>
        <v>77030</v>
      </c>
      <c r="D169" s="142">
        <v>1880</v>
      </c>
      <c r="E169" s="142">
        <f t="shared" si="15"/>
        <v>78910</v>
      </c>
    </row>
    <row r="170" spans="2:5" ht="12.75" hidden="1">
      <c r="B170" s="145"/>
      <c r="C170" s="142">
        <f t="shared" si="14"/>
        <v>78910</v>
      </c>
      <c r="D170" s="142">
        <v>2020</v>
      </c>
      <c r="E170" s="142">
        <f t="shared" si="15"/>
        <v>80930</v>
      </c>
    </row>
    <row r="171" spans="2:5" ht="12.75" hidden="1">
      <c r="B171" s="145"/>
      <c r="C171" s="142">
        <f t="shared" si="14"/>
        <v>80930</v>
      </c>
      <c r="D171" s="142">
        <v>2020</v>
      </c>
      <c r="E171" s="142">
        <f t="shared" si="15"/>
        <v>82950</v>
      </c>
    </row>
    <row r="172" spans="2:5" ht="12.75" hidden="1">
      <c r="B172" s="145"/>
      <c r="C172" s="142">
        <f t="shared" si="14"/>
        <v>82950</v>
      </c>
      <c r="D172" s="142">
        <v>2020</v>
      </c>
      <c r="E172" s="142">
        <f t="shared" si="15"/>
        <v>84970</v>
      </c>
    </row>
    <row r="173" spans="2:5" ht="12.75" hidden="1">
      <c r="B173" s="145"/>
      <c r="C173" s="142">
        <f t="shared" si="14"/>
        <v>84970</v>
      </c>
      <c r="D173" s="142">
        <v>2160</v>
      </c>
      <c r="E173" s="142">
        <f t="shared" si="15"/>
        <v>87130</v>
      </c>
    </row>
    <row r="174" spans="2:5" ht="12.75" hidden="1">
      <c r="B174" s="145"/>
      <c r="C174" s="142">
        <f t="shared" si="14"/>
        <v>87130</v>
      </c>
      <c r="D174" s="142">
        <v>2160</v>
      </c>
      <c r="E174" s="142">
        <f t="shared" si="15"/>
        <v>89290</v>
      </c>
    </row>
    <row r="175" spans="2:5" ht="12.75" hidden="1">
      <c r="B175" s="145"/>
      <c r="C175" s="142">
        <f t="shared" si="14"/>
        <v>89290</v>
      </c>
      <c r="D175" s="142">
        <v>2160</v>
      </c>
      <c r="E175" s="142">
        <f t="shared" si="15"/>
        <v>91450</v>
      </c>
    </row>
    <row r="176" spans="2:5" ht="12.75" hidden="1">
      <c r="B176" s="145"/>
      <c r="C176" s="142">
        <f t="shared" si="14"/>
        <v>91450</v>
      </c>
      <c r="D176" s="142">
        <v>2330</v>
      </c>
      <c r="E176" s="142">
        <f t="shared" si="15"/>
        <v>93780</v>
      </c>
    </row>
    <row r="177" spans="2:5" ht="12.75" hidden="1">
      <c r="B177" s="145"/>
      <c r="C177" s="142">
        <f t="shared" si="14"/>
        <v>93780</v>
      </c>
      <c r="D177" s="142">
        <v>2330</v>
      </c>
      <c r="E177" s="142">
        <f t="shared" si="15"/>
        <v>96110</v>
      </c>
    </row>
    <row r="178" spans="2:5" ht="12.75" hidden="1">
      <c r="B178" s="145"/>
      <c r="C178" s="142">
        <f t="shared" si="14"/>
        <v>96110</v>
      </c>
      <c r="D178" s="142">
        <v>2330</v>
      </c>
      <c r="E178" s="142">
        <f t="shared" si="15"/>
        <v>98440</v>
      </c>
    </row>
    <row r="179" spans="2:5" ht="12.75" hidden="1">
      <c r="B179" s="145"/>
      <c r="C179" s="142">
        <f t="shared" si="14"/>
        <v>98440</v>
      </c>
      <c r="D179" s="142">
        <v>2330</v>
      </c>
      <c r="E179" s="142">
        <f t="shared" si="15"/>
        <v>100770</v>
      </c>
    </row>
    <row r="180" spans="2:5" ht="12.75" hidden="1">
      <c r="B180" s="145"/>
      <c r="C180" s="142">
        <f t="shared" si="14"/>
        <v>100770</v>
      </c>
      <c r="D180" s="142">
        <v>2520</v>
      </c>
      <c r="E180" s="142">
        <f t="shared" si="15"/>
        <v>103290</v>
      </c>
    </row>
    <row r="181" spans="2:5" ht="12.75" hidden="1">
      <c r="B181" s="145"/>
      <c r="C181" s="142">
        <f t="shared" si="14"/>
        <v>103290</v>
      </c>
      <c r="D181" s="142">
        <v>2520</v>
      </c>
      <c r="E181" s="142">
        <f t="shared" si="15"/>
        <v>105810</v>
      </c>
    </row>
    <row r="182" spans="2:5" ht="12.75" hidden="1">
      <c r="B182" s="145"/>
      <c r="C182" s="142">
        <f t="shared" si="14"/>
        <v>105810</v>
      </c>
      <c r="D182" s="142">
        <v>2520</v>
      </c>
      <c r="E182" s="142">
        <f t="shared" si="15"/>
        <v>108330</v>
      </c>
    </row>
    <row r="183" spans="2:5" ht="12.75" hidden="1">
      <c r="B183" s="145"/>
      <c r="C183" s="142">
        <f t="shared" si="14"/>
        <v>108330</v>
      </c>
      <c r="D183" s="142">
        <v>2520</v>
      </c>
      <c r="E183" s="142">
        <f t="shared" si="15"/>
        <v>110850</v>
      </c>
    </row>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sheetData>
  <sheetProtection password="CF9E" sheet="1" selectLockedCells="1"/>
  <mergeCells count="2">
    <mergeCell ref="G103:S104"/>
    <mergeCell ref="B1:C1"/>
  </mergeCells>
  <dataValidations count="8">
    <dataValidation type="list" allowBlank="1" showInputMessage="1" showErrorMessage="1" sqref="F7:F40 C12">
      <formula1>$AH$6:$AH$29</formula1>
    </dataValidation>
    <dataValidation type="list" allowBlank="1" showInputMessage="1" showErrorMessage="1" sqref="G7:G40 C13">
      <formula1>$B$103:$B$134</formula1>
    </dataValidation>
    <dataValidation type="list" allowBlank="1" showInputMessage="1" showErrorMessage="1" sqref="H7:H40 C14">
      <formula1>$C$104:$C$183</formula1>
    </dataValidation>
    <dataValidation type="list" allowBlank="1" showInputMessage="1" showErrorMessage="1" sqref="G5:H5 C4">
      <formula1>"HEAD MASTER,HEAD MISTRESS,MANDAL EDUCATIONAL OFFICER,DEPUTY EDUCATIONAL OFFICER"</formula1>
    </dataValidation>
    <dataValidation type="list" allowBlank="1" showInputMessage="1" showErrorMessage="1" sqref="C23">
      <formula1>"CPS,PF"</formula1>
    </dataValidation>
    <dataValidation type="list" allowBlank="1" showInputMessage="1" showErrorMessage="1" sqref="C19">
      <formula1>"12,14.5,20,30"</formula1>
    </dataValidation>
    <dataValidation type="list" allowBlank="1" showInputMessage="1" showErrorMessage="1" sqref="C21">
      <formula1>"Not Applicable,CA,RA"</formula1>
    </dataValidation>
    <dataValidation type="list" allowBlank="1" showInputMessage="1" showErrorMessage="1" sqref="C22">
      <formula1>"Not applicable,Vijayawada,Vishakhapatnam,Hyderabad,Others"</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tabSelected="1" zoomScalePageLayoutView="0" workbookViewId="0" topLeftCell="A7">
      <selection activeCell="A11" sqref="A11"/>
    </sheetView>
  </sheetViews>
  <sheetFormatPr defaultColWidth="9.140625" defaultRowHeight="12.75"/>
  <cols>
    <col min="1" max="1" width="3.7109375" style="68" customWidth="1"/>
    <col min="2" max="2" width="7.8515625" style="68" bestFit="1" customWidth="1"/>
    <col min="3" max="3" width="23.00390625" style="68" customWidth="1"/>
    <col min="4" max="4" width="8.140625" style="68" customWidth="1"/>
    <col min="5" max="5" width="5.7109375" style="68" customWidth="1"/>
    <col min="6" max="6" width="10.28125" style="68" customWidth="1"/>
    <col min="7" max="7" width="6.57421875" style="68" customWidth="1"/>
    <col min="8" max="8" width="7.140625" style="68" customWidth="1"/>
    <col min="9" max="9" width="13.8515625" style="68" customWidth="1"/>
    <col min="10" max="10" width="13.140625" style="68" customWidth="1"/>
    <col min="11" max="11" width="11.8515625" style="68" bestFit="1" customWidth="1"/>
    <col min="12" max="12" width="11.7109375" style="68" bestFit="1" customWidth="1"/>
    <col min="13" max="13" width="6.28125" style="68" customWidth="1"/>
    <col min="14" max="14" width="5.140625" style="68" customWidth="1"/>
    <col min="15" max="15" width="6.421875" style="68" customWidth="1"/>
    <col min="16" max="16384" width="9.140625" style="68" customWidth="1"/>
  </cols>
  <sheetData>
    <row r="1" spans="1:15" ht="20.25">
      <c r="A1" s="173" t="s">
        <v>45</v>
      </c>
      <c r="B1" s="173"/>
      <c r="C1" s="173"/>
      <c r="D1" s="173"/>
      <c r="E1" s="173"/>
      <c r="F1" s="173"/>
      <c r="G1" s="173"/>
      <c r="H1" s="173"/>
      <c r="I1" s="173"/>
      <c r="J1" s="173"/>
      <c r="K1" s="173"/>
      <c r="L1" s="173"/>
      <c r="M1" s="173"/>
      <c r="N1" s="173"/>
      <c r="O1" s="173"/>
    </row>
    <row r="2" spans="1:15" ht="15.75">
      <c r="A2" s="174" t="s">
        <v>0</v>
      </c>
      <c r="B2" s="174"/>
      <c r="C2" s="174"/>
      <c r="D2" s="174"/>
      <c r="E2" s="174"/>
      <c r="F2" s="174"/>
      <c r="G2" s="174"/>
      <c r="H2" s="174"/>
      <c r="I2" s="174"/>
      <c r="J2" s="174"/>
      <c r="K2" s="174"/>
      <c r="L2" s="174"/>
      <c r="M2" s="174"/>
      <c r="N2" s="174"/>
      <c r="O2" s="174"/>
    </row>
    <row r="3" spans="1:15" ht="12.75">
      <c r="A3" s="175" t="s">
        <v>1</v>
      </c>
      <c r="B3" s="175"/>
      <c r="C3" s="175"/>
      <c r="D3" s="175"/>
      <c r="E3" s="175"/>
      <c r="F3" s="175"/>
      <c r="G3" s="175"/>
      <c r="H3" s="175"/>
      <c r="I3" s="175"/>
      <c r="J3" s="175"/>
      <c r="K3" s="175"/>
      <c r="L3" s="175"/>
      <c r="M3" s="175"/>
      <c r="N3" s="175"/>
      <c r="O3" s="175"/>
    </row>
    <row r="4" spans="1:15" ht="15.75">
      <c r="A4" s="174" t="s">
        <v>2</v>
      </c>
      <c r="B4" s="174"/>
      <c r="C4" s="174"/>
      <c r="D4" s="174"/>
      <c r="E4" s="174"/>
      <c r="F4" s="174"/>
      <c r="G4" s="174"/>
      <c r="H4" s="174"/>
      <c r="I4" s="174"/>
      <c r="J4" s="174"/>
      <c r="K4" s="174"/>
      <c r="L4" s="174"/>
      <c r="M4" s="174"/>
      <c r="N4" s="174"/>
      <c r="O4" s="174"/>
    </row>
    <row r="5" spans="1:15" ht="15.75">
      <c r="A5" s="174" t="s">
        <v>3</v>
      </c>
      <c r="B5" s="174"/>
      <c r="C5" s="174"/>
      <c r="D5" s="174"/>
      <c r="E5" s="174"/>
      <c r="F5" s="174"/>
      <c r="G5" s="174"/>
      <c r="H5" s="174"/>
      <c r="I5" s="174"/>
      <c r="J5" s="174"/>
      <c r="K5" s="174"/>
      <c r="L5" s="174"/>
      <c r="M5" s="174"/>
      <c r="N5" s="174"/>
      <c r="O5" s="174"/>
    </row>
    <row r="6" spans="1:15" ht="69" customHeight="1">
      <c r="A6" s="176" t="s">
        <v>4</v>
      </c>
      <c r="B6" s="176"/>
      <c r="C6" s="176"/>
      <c r="D6" s="176"/>
      <c r="E6" s="176"/>
      <c r="F6" s="176"/>
      <c r="G6" s="176"/>
      <c r="H6" s="176"/>
      <c r="I6" s="176"/>
      <c r="J6" s="176"/>
      <c r="K6" s="176"/>
      <c r="L6" s="176"/>
      <c r="M6" s="176"/>
      <c r="N6" s="176"/>
      <c r="O6" s="176"/>
    </row>
    <row r="7" spans="1:15" s="60" customFormat="1" ht="78" customHeight="1">
      <c r="A7" s="179" t="s">
        <v>5</v>
      </c>
      <c r="B7" s="70" t="s">
        <v>6</v>
      </c>
      <c r="C7" s="185" t="s">
        <v>7</v>
      </c>
      <c r="D7" s="179" t="s">
        <v>8</v>
      </c>
      <c r="E7" s="179" t="s">
        <v>9</v>
      </c>
      <c r="F7" s="179" t="s">
        <v>10</v>
      </c>
      <c r="G7" s="183" t="s">
        <v>11</v>
      </c>
      <c r="H7" s="184"/>
      <c r="I7" s="177" t="s">
        <v>12</v>
      </c>
      <c r="J7" s="178"/>
      <c r="K7" s="179" t="s">
        <v>13</v>
      </c>
      <c r="L7" s="179" t="s">
        <v>14</v>
      </c>
      <c r="M7" s="179" t="s">
        <v>15</v>
      </c>
      <c r="N7" s="179" t="s">
        <v>16</v>
      </c>
      <c r="O7" s="179" t="s">
        <v>17</v>
      </c>
    </row>
    <row r="8" spans="1:15" s="60" customFormat="1" ht="15.75" customHeight="1">
      <c r="A8" s="180"/>
      <c r="B8" s="71"/>
      <c r="C8" s="186"/>
      <c r="D8" s="180"/>
      <c r="E8" s="180"/>
      <c r="F8" s="180"/>
      <c r="G8" s="72" t="s">
        <v>18</v>
      </c>
      <c r="H8" s="72" t="s">
        <v>19</v>
      </c>
      <c r="I8" s="72" t="s">
        <v>18</v>
      </c>
      <c r="J8" s="72" t="s">
        <v>19</v>
      </c>
      <c r="K8" s="180"/>
      <c r="L8" s="180"/>
      <c r="M8" s="180"/>
      <c r="N8" s="180"/>
      <c r="O8" s="180"/>
    </row>
    <row r="9" spans="1:15" s="75" customFormat="1" ht="12.75">
      <c r="A9" s="73">
        <v>1</v>
      </c>
      <c r="B9" s="74"/>
      <c r="C9" s="74">
        <v>2</v>
      </c>
      <c r="D9" s="74">
        <v>3</v>
      </c>
      <c r="E9" s="74">
        <v>4</v>
      </c>
      <c r="F9" s="74">
        <v>5</v>
      </c>
      <c r="G9" s="74">
        <v>6</v>
      </c>
      <c r="H9" s="74">
        <v>7</v>
      </c>
      <c r="I9" s="74">
        <v>8</v>
      </c>
      <c r="J9" s="74">
        <v>9</v>
      </c>
      <c r="K9" s="74">
        <v>10</v>
      </c>
      <c r="L9" s="74">
        <v>11</v>
      </c>
      <c r="M9" s="74">
        <v>12</v>
      </c>
      <c r="N9" s="74">
        <v>13</v>
      </c>
      <c r="O9" s="74">
        <v>14</v>
      </c>
    </row>
    <row r="10" spans="1:15" s="94" customFormat="1" ht="29.25" customHeight="1">
      <c r="A10" s="93">
        <v>1</v>
      </c>
      <c r="B10" s="46">
        <f>Data!C8</f>
        <v>549611</v>
      </c>
      <c r="C10" s="95" t="str">
        <f>Data!C9</f>
        <v>J MALLI</v>
      </c>
      <c r="D10" s="46" t="str">
        <f>Data!C10</f>
        <v>SA (Maths)  </v>
      </c>
      <c r="E10" s="46" t="str">
        <f>Data!C11</f>
        <v>Substantive</v>
      </c>
      <c r="F10" s="96">
        <f>Data!U6</f>
        <v>43862</v>
      </c>
      <c r="G10" s="102"/>
      <c r="H10" s="102"/>
      <c r="I10" s="102"/>
      <c r="J10" s="102"/>
      <c r="K10" s="96">
        <f>Data!V6</f>
        <v>44228</v>
      </c>
      <c r="L10" s="46" t="str">
        <f>Data!C13</f>
        <v>35120-87130</v>
      </c>
      <c r="M10" s="46">
        <f>Data!C14</f>
        <v>43680</v>
      </c>
      <c r="N10" s="46">
        <f>Data!AD6</f>
        <v>1190</v>
      </c>
      <c r="O10" s="46">
        <f>Data!AE6</f>
        <v>44870</v>
      </c>
    </row>
    <row r="11" spans="1:15" s="94" customFormat="1" ht="25.5" customHeight="1">
      <c r="A11" s="93"/>
      <c r="B11" s="46"/>
      <c r="C11" s="95"/>
      <c r="D11" s="46"/>
      <c r="E11" s="46"/>
      <c r="F11" s="96"/>
      <c r="G11" s="97"/>
      <c r="H11" s="97"/>
      <c r="I11" s="97"/>
      <c r="J11" s="97"/>
      <c r="K11" s="96"/>
      <c r="L11" s="46"/>
      <c r="M11" s="46"/>
      <c r="N11" s="46"/>
      <c r="O11" s="46"/>
    </row>
    <row r="12" spans="1:15" s="94" customFormat="1" ht="25.5" customHeight="1">
      <c r="A12" s="93">
        <v>3</v>
      </c>
      <c r="B12" s="93"/>
      <c r="C12" s="100"/>
      <c r="D12" s="93"/>
      <c r="E12" s="93"/>
      <c r="F12" s="101"/>
      <c r="G12" s="102"/>
      <c r="H12" s="102"/>
      <c r="I12" s="102"/>
      <c r="J12" s="102"/>
      <c r="K12" s="101"/>
      <c r="L12" s="93"/>
      <c r="M12" s="93"/>
      <c r="N12" s="93"/>
      <c r="O12" s="93"/>
    </row>
    <row r="13" spans="1:15" s="94" customFormat="1" ht="25.5" customHeight="1">
      <c r="A13" s="93"/>
      <c r="B13" s="93"/>
      <c r="C13" s="100"/>
      <c r="D13" s="93"/>
      <c r="E13" s="93"/>
      <c r="F13" s="101"/>
      <c r="G13" s="102"/>
      <c r="H13" s="102"/>
      <c r="I13" s="102"/>
      <c r="J13" s="102"/>
      <c r="K13" s="101"/>
      <c r="L13" s="93"/>
      <c r="M13" s="93"/>
      <c r="N13" s="93"/>
      <c r="O13" s="93"/>
    </row>
    <row r="14" spans="1:15" s="94" customFormat="1" ht="25.5" customHeight="1">
      <c r="A14" s="93"/>
      <c r="B14" s="93"/>
      <c r="C14" s="100"/>
      <c r="D14" s="93"/>
      <c r="E14" s="93"/>
      <c r="F14" s="101"/>
      <c r="G14" s="102"/>
      <c r="H14" s="102"/>
      <c r="I14" s="102"/>
      <c r="J14" s="102"/>
      <c r="K14" s="101"/>
      <c r="L14" s="93"/>
      <c r="M14" s="93"/>
      <c r="N14" s="93"/>
      <c r="O14" s="93"/>
    </row>
    <row r="15" spans="1:15" s="94" customFormat="1" ht="25.5" customHeight="1">
      <c r="A15" s="93"/>
      <c r="B15" s="93"/>
      <c r="C15" s="100"/>
      <c r="D15" s="93"/>
      <c r="E15" s="93"/>
      <c r="F15" s="101"/>
      <c r="G15" s="102"/>
      <c r="H15" s="102"/>
      <c r="I15" s="102"/>
      <c r="J15" s="102"/>
      <c r="K15" s="101"/>
      <c r="L15" s="93"/>
      <c r="M15" s="93"/>
      <c r="N15" s="93"/>
      <c r="O15" s="93"/>
    </row>
    <row r="16" spans="1:15" s="75" customFormat="1" ht="25.5" customHeight="1">
      <c r="A16" s="76"/>
      <c r="B16" s="76"/>
      <c r="C16" s="77"/>
      <c r="D16" s="76"/>
      <c r="E16" s="76"/>
      <c r="F16" s="78"/>
      <c r="G16" s="79"/>
      <c r="H16" s="79"/>
      <c r="I16" s="79"/>
      <c r="J16" s="79"/>
      <c r="K16" s="78"/>
      <c r="L16" s="76"/>
      <c r="M16" s="76"/>
      <c r="N16" s="76"/>
      <c r="O16" s="76"/>
    </row>
    <row r="17" spans="1:15" s="81" customFormat="1" ht="38.25" customHeight="1">
      <c r="A17" s="80"/>
      <c r="B17" s="80"/>
      <c r="C17" s="182" t="s">
        <v>21</v>
      </c>
      <c r="D17" s="182"/>
      <c r="E17" s="182"/>
      <c r="F17" s="182"/>
      <c r="G17" s="182"/>
      <c r="H17" s="182"/>
      <c r="I17" s="182"/>
      <c r="J17" s="182"/>
      <c r="K17" s="182"/>
      <c r="L17" s="182"/>
      <c r="M17" s="182"/>
      <c r="N17" s="182"/>
      <c r="O17" s="182"/>
    </row>
    <row r="18" spans="1:15" s="81" customFormat="1" ht="25.5" customHeight="1">
      <c r="A18" s="82"/>
      <c r="B18" s="82"/>
      <c r="C18" s="182" t="s">
        <v>22</v>
      </c>
      <c r="D18" s="182"/>
      <c r="E18" s="182"/>
      <c r="F18" s="182"/>
      <c r="G18" s="182"/>
      <c r="H18" s="182"/>
      <c r="I18" s="182"/>
      <c r="J18" s="182"/>
      <c r="K18" s="182"/>
      <c r="L18" s="182"/>
      <c r="M18" s="182"/>
      <c r="N18" s="182"/>
      <c r="O18" s="182"/>
    </row>
    <row r="19" spans="1:2" s="81" customFormat="1" ht="15" customHeight="1">
      <c r="A19" s="83" t="s">
        <v>23</v>
      </c>
      <c r="B19" s="83"/>
    </row>
    <row r="20" spans="1:2" ht="8.25" customHeight="1" hidden="1">
      <c r="A20" s="84"/>
      <c r="B20" s="84"/>
    </row>
    <row r="21" spans="1:15" ht="23.25" customHeight="1">
      <c r="A21" s="84"/>
      <c r="B21" s="84"/>
      <c r="K21" s="181" t="s">
        <v>24</v>
      </c>
      <c r="L21" s="181"/>
      <c r="M21" s="181"/>
      <c r="N21" s="181"/>
      <c r="O21" s="181"/>
    </row>
    <row r="22" spans="1:2" ht="15" customHeight="1">
      <c r="A22" s="84"/>
      <c r="B22" s="84"/>
    </row>
  </sheetData>
  <sheetProtection password="A18B" sheet="1" objects="1" scenarios="1" formatRows="0" selectLockedCells="1"/>
  <mergeCells count="21">
    <mergeCell ref="A7:A8"/>
    <mergeCell ref="C7:C8"/>
    <mergeCell ref="D7:D8"/>
    <mergeCell ref="E7:E8"/>
    <mergeCell ref="F7:F8"/>
    <mergeCell ref="I7:J7"/>
    <mergeCell ref="K7:K8"/>
    <mergeCell ref="L7:L8"/>
    <mergeCell ref="M7:M8"/>
    <mergeCell ref="K21:O21"/>
    <mergeCell ref="O7:O8"/>
    <mergeCell ref="C17:O17"/>
    <mergeCell ref="C18:O18"/>
    <mergeCell ref="G7:H7"/>
    <mergeCell ref="N7:N8"/>
    <mergeCell ref="A1:O1"/>
    <mergeCell ref="A2:O2"/>
    <mergeCell ref="A3:O3"/>
    <mergeCell ref="A4:O4"/>
    <mergeCell ref="A5:O5"/>
    <mergeCell ref="A6:O6"/>
  </mergeCells>
  <conditionalFormatting sqref="A11:O11">
    <cfRule type="expression" priority="40" dxfId="7">
      <formula>$N$11=0</formula>
    </cfRule>
  </conditionalFormatting>
  <conditionalFormatting sqref="A12:O12">
    <cfRule type="expression" priority="39" dxfId="7">
      <formula>$N$12=0</formula>
    </cfRule>
  </conditionalFormatting>
  <conditionalFormatting sqref="A14:O14">
    <cfRule type="expression" priority="37" dxfId="7">
      <formula>$N$14=0</formula>
    </cfRule>
  </conditionalFormatting>
  <conditionalFormatting sqref="A15:O15">
    <cfRule type="expression" priority="36" dxfId="7">
      <formula>$N$15=0</formula>
    </cfRule>
  </conditionalFormatting>
  <conditionalFormatting sqref="A13:O13">
    <cfRule type="expression" priority="1" dxfId="7" stopIfTrue="1">
      <formula>$N$13=0</formula>
    </cfRule>
  </conditionalFormatting>
  <printOptions horizontalCentered="1"/>
  <pageMargins left="0.5" right="0.51" top="0.5" bottom="0.51" header="0.41" footer="0.4"/>
  <pageSetup fitToHeight="10" fitToWidth="1" horizontalDpi="180" verticalDpi="180" orientation="landscape" paperSize="9" scale="98" r:id="rId1"/>
</worksheet>
</file>

<file path=xl/worksheets/sheet3.xml><?xml version="1.0" encoding="utf-8"?>
<worksheet xmlns="http://schemas.openxmlformats.org/spreadsheetml/2006/main" xmlns:r="http://schemas.openxmlformats.org/officeDocument/2006/relationships">
  <dimension ref="A1:H56"/>
  <sheetViews>
    <sheetView zoomScalePageLayoutView="0" workbookViewId="0" topLeftCell="A16">
      <selection activeCell="C10" sqref="C10"/>
    </sheetView>
  </sheetViews>
  <sheetFormatPr defaultColWidth="9.140625" defaultRowHeight="12.75"/>
  <cols>
    <col min="1" max="1" width="3.7109375" style="6" customWidth="1"/>
    <col min="2" max="2" width="7.421875" style="6" customWidth="1"/>
    <col min="3" max="3" width="21.00390625" style="3" customWidth="1"/>
    <col min="4" max="4" width="8.00390625" style="4" customWidth="1"/>
    <col min="5" max="5" width="10.28125" style="7" bestFit="1" customWidth="1"/>
    <col min="6" max="6" width="18.140625" style="5" customWidth="1"/>
    <col min="7" max="7" width="7.00390625" style="9" customWidth="1"/>
    <col min="8" max="8" width="17.7109375" style="5" customWidth="1"/>
    <col min="9" max="16384" width="9.140625" style="6" customWidth="1"/>
  </cols>
  <sheetData>
    <row r="1" spans="1:8" ht="20.25">
      <c r="A1" s="173" t="s">
        <v>45</v>
      </c>
      <c r="B1" s="173"/>
      <c r="C1" s="173"/>
      <c r="D1" s="173"/>
      <c r="E1" s="173"/>
      <c r="F1" s="173"/>
      <c r="G1" s="173"/>
      <c r="H1" s="173"/>
    </row>
    <row r="2" spans="1:8" ht="21" customHeight="1">
      <c r="A2" s="188" t="str">
        <f>"PROCEEDINGS OF THE "&amp;Data!C4&amp;", "&amp;Data!C2</f>
        <v>PROCEEDINGS OF THE HEAD MASTER, SRRZPHS NUZVID </v>
      </c>
      <c r="B2" s="188"/>
      <c r="C2" s="188"/>
      <c r="D2" s="188"/>
      <c r="E2" s="189"/>
      <c r="F2" s="188"/>
      <c r="G2" s="188"/>
      <c r="H2" s="188"/>
    </row>
    <row r="3" spans="1:8" ht="12.75">
      <c r="A3" s="190" t="str">
        <f>"Present: "&amp;Data!C3</f>
        <v>Present: Sri.K.V.SATYANARAYANA, B.Sc.,B.Ed.,</v>
      </c>
      <c r="B3" s="190"/>
      <c r="C3" s="190"/>
      <c r="D3" s="190"/>
      <c r="E3" s="191"/>
      <c r="F3" s="190"/>
      <c r="G3" s="190"/>
      <c r="H3" s="190"/>
    </row>
    <row r="4" spans="1:8" ht="12.75">
      <c r="A4" s="19"/>
      <c r="B4" s="19"/>
      <c r="C4" s="20"/>
      <c r="D4" s="21"/>
      <c r="E4" s="22"/>
      <c r="F4" s="23"/>
      <c r="G4" s="24"/>
      <c r="H4" s="23"/>
    </row>
    <row r="5" spans="1:8" ht="12.75">
      <c r="A5" s="190" t="s">
        <v>25</v>
      </c>
      <c r="B5" s="190"/>
      <c r="C5" s="58" t="str">
        <f>Data!C5</f>
        <v>12/HM/INC/2019</v>
      </c>
      <c r="D5" s="21"/>
      <c r="E5" s="25"/>
      <c r="F5" s="26"/>
      <c r="G5" s="27" t="s">
        <v>26</v>
      </c>
      <c r="H5" s="57">
        <f ca="1">TODAY()</f>
        <v>44358</v>
      </c>
    </row>
    <row r="6" spans="1:8" ht="12.75">
      <c r="A6" s="19"/>
      <c r="B6" s="19"/>
      <c r="C6" s="20"/>
      <c r="D6" s="21"/>
      <c r="E6" s="25"/>
      <c r="F6" s="23"/>
      <c r="G6" s="28"/>
      <c r="H6" s="23"/>
    </row>
    <row r="7" spans="1:8" ht="19.5" customHeight="1">
      <c r="A7" s="19"/>
      <c r="B7" s="19"/>
      <c r="C7" s="29" t="str">
        <f>"               Sub: Education - "&amp;Data!C7&amp;" - "&amp;Data!C2&amp;" - Periodical "</f>
        <v>               Sub: Education - School Assistant - SRRZPHS NUZVID  - Periodical </v>
      </c>
      <c r="D7" s="30"/>
      <c r="E7" s="31"/>
      <c r="F7" s="32"/>
      <c r="G7" s="32"/>
      <c r="H7" s="32"/>
    </row>
    <row r="8" spans="1:8" ht="19.5" customHeight="1">
      <c r="A8" s="19"/>
      <c r="B8" s="19"/>
      <c r="C8" s="29" t="str">
        <f>"                       Increments - Sanctioned - Orders Issued - Reg."</f>
        <v>                       Increments - Sanctioned - Orders Issued - Reg.</v>
      </c>
      <c r="D8" s="33"/>
      <c r="E8" s="34"/>
      <c r="F8" s="35"/>
      <c r="G8" s="36"/>
      <c r="H8" s="35"/>
    </row>
    <row r="9" spans="1:8" ht="19.5" customHeight="1">
      <c r="A9" s="19"/>
      <c r="B9" s="19"/>
      <c r="C9" s="37" t="s">
        <v>78</v>
      </c>
      <c r="D9" s="38"/>
      <c r="E9" s="39"/>
      <c r="F9" s="40"/>
      <c r="G9" s="41"/>
      <c r="H9" s="40"/>
    </row>
    <row r="10" spans="1:8" ht="19.5" customHeight="1">
      <c r="A10" s="19"/>
      <c r="B10" s="19"/>
      <c r="C10" s="109" t="s">
        <v>27</v>
      </c>
      <c r="D10" s="43"/>
      <c r="E10" s="39"/>
      <c r="F10" s="40"/>
      <c r="G10" s="41"/>
      <c r="H10" s="40"/>
    </row>
    <row r="11" spans="1:8" ht="19.5" customHeight="1">
      <c r="A11" s="19"/>
      <c r="B11" s="19"/>
      <c r="C11" s="42" t="s">
        <v>28</v>
      </c>
      <c r="D11" s="43"/>
      <c r="E11" s="39"/>
      <c r="F11" s="40"/>
      <c r="G11" s="41"/>
      <c r="H11" s="40"/>
    </row>
    <row r="12" spans="1:8" ht="16.5" customHeight="1">
      <c r="A12" s="19"/>
      <c r="B12" s="19"/>
      <c r="C12" s="20"/>
      <c r="D12" s="21"/>
      <c r="E12" s="39"/>
      <c r="F12" s="40"/>
      <c r="G12" s="41"/>
      <c r="H12" s="40"/>
    </row>
    <row r="13" spans="1:8" ht="15">
      <c r="A13" s="192" t="s">
        <v>29</v>
      </c>
      <c r="B13" s="192"/>
      <c r="C13" s="192"/>
      <c r="D13" s="192"/>
      <c r="E13" s="193"/>
      <c r="F13" s="192"/>
      <c r="G13" s="192"/>
      <c r="H13" s="192"/>
    </row>
    <row r="14" spans="1:8" ht="11.25" customHeight="1">
      <c r="A14" s="44"/>
      <c r="B14" s="44"/>
      <c r="C14" s="20"/>
      <c r="D14" s="21"/>
      <c r="E14" s="25"/>
      <c r="F14" s="23"/>
      <c r="G14" s="28"/>
      <c r="H14" s="23"/>
    </row>
    <row r="15" spans="1:8" ht="12.75">
      <c r="A15" s="45" t="s">
        <v>30</v>
      </c>
      <c r="B15" s="45"/>
      <c r="C15" s="20"/>
      <c r="D15" s="21"/>
      <c r="E15" s="25"/>
      <c r="F15" s="23"/>
      <c r="G15" s="28"/>
      <c r="H15" s="23"/>
    </row>
    <row r="16" spans="1:8" ht="27" customHeight="1">
      <c r="A16" s="194" t="str">
        <f>"           In view of above references , the "&amp;Data!C4&amp;", "&amp;Data!C2&amp;" is here by sanction the Annual Periodical Increments to the following staff members of  "&amp;Data!C2&amp;" as follows."</f>
        <v>           In view of above references , the HEAD MASTER, SRRZPHS NUZVID  is here by sanction the Annual Periodical Increments to the following staff members of  SRRZPHS NUZVID  as follows.</v>
      </c>
      <c r="B16" s="194"/>
      <c r="C16" s="194"/>
      <c r="D16" s="194"/>
      <c r="E16" s="195"/>
      <c r="F16" s="194"/>
      <c r="G16" s="194"/>
      <c r="H16" s="194"/>
    </row>
    <row r="17" spans="1:8" ht="15">
      <c r="A17" s="44"/>
      <c r="B17" s="44"/>
      <c r="C17" s="20"/>
      <c r="D17" s="21"/>
      <c r="E17" s="25"/>
      <c r="F17" s="23"/>
      <c r="G17" s="28"/>
      <c r="H17" s="23"/>
    </row>
    <row r="18" spans="1:8" s="10" customFormat="1" ht="63" customHeight="1">
      <c r="A18" s="46" t="s">
        <v>31</v>
      </c>
      <c r="B18" s="46" t="s">
        <v>6</v>
      </c>
      <c r="C18" s="47" t="s">
        <v>32</v>
      </c>
      <c r="D18" s="48" t="s">
        <v>33</v>
      </c>
      <c r="E18" s="49" t="s">
        <v>34</v>
      </c>
      <c r="F18" s="50" t="s">
        <v>35</v>
      </c>
      <c r="G18" s="51" t="s">
        <v>16</v>
      </c>
      <c r="H18" s="50" t="s">
        <v>43</v>
      </c>
    </row>
    <row r="19" spans="1:8" s="98" customFormat="1" ht="29.25" customHeight="1">
      <c r="A19" s="85">
        <v>1</v>
      </c>
      <c r="B19" s="52">
        <f>'Form 49 '!B10</f>
        <v>549611</v>
      </c>
      <c r="C19" s="53" t="str">
        <f>'Form 49 '!C10</f>
        <v>J MALLI</v>
      </c>
      <c r="D19" s="54" t="str">
        <f>'Form 49 '!D10</f>
        <v>SA (Maths)  </v>
      </c>
      <c r="E19" s="55">
        <f>'Form 49 '!K10</f>
        <v>44228</v>
      </c>
      <c r="F19" s="50" t="str">
        <f>'Form 49 '!M10&amp;"/
"&amp;'Form 49 '!L10</f>
        <v>43680/
35120-87130</v>
      </c>
      <c r="G19" s="56">
        <f>'Form 49 '!N10</f>
        <v>1190</v>
      </c>
      <c r="H19" s="50" t="str">
        <f>'Form 49 '!O10&amp;"/ 
"&amp;'Form 49 '!L10</f>
        <v>44870/ 
35120-87130</v>
      </c>
    </row>
    <row r="20" spans="1:8" s="99" customFormat="1" ht="29.25" customHeight="1">
      <c r="A20" s="85"/>
      <c r="B20" s="52"/>
      <c r="C20" s="53"/>
      <c r="D20" s="54"/>
      <c r="E20" s="55"/>
      <c r="F20" s="50"/>
      <c r="G20" s="56"/>
      <c r="H20" s="50"/>
    </row>
    <row r="21" spans="1:8" s="108" customFormat="1" ht="29.25" customHeight="1">
      <c r="A21" s="85"/>
      <c r="B21" s="85"/>
      <c r="C21" s="103"/>
      <c r="D21" s="104"/>
      <c r="E21" s="105"/>
      <c r="F21" s="106"/>
      <c r="G21" s="107"/>
      <c r="H21" s="106"/>
    </row>
    <row r="22" spans="1:8" s="108" customFormat="1" ht="29.25" customHeight="1">
      <c r="A22" s="85"/>
      <c r="B22" s="85"/>
      <c r="C22" s="103"/>
      <c r="D22" s="104"/>
      <c r="E22" s="105"/>
      <c r="F22" s="106"/>
      <c r="G22" s="107"/>
      <c r="H22" s="106"/>
    </row>
    <row r="23" spans="1:8" s="108" customFormat="1" ht="29.25" customHeight="1">
      <c r="A23" s="85"/>
      <c r="B23" s="85"/>
      <c r="C23" s="103"/>
      <c r="D23" s="104"/>
      <c r="E23" s="105"/>
      <c r="F23" s="106"/>
      <c r="G23" s="107"/>
      <c r="H23" s="106"/>
    </row>
    <row r="24" spans="1:8" s="108" customFormat="1" ht="29.25" customHeight="1">
      <c r="A24" s="85"/>
      <c r="B24" s="85"/>
      <c r="C24" s="103"/>
      <c r="D24" s="104"/>
      <c r="E24" s="105"/>
      <c r="F24" s="106"/>
      <c r="G24" s="107"/>
      <c r="H24" s="106"/>
    </row>
    <row r="25" spans="1:8" s="108" customFormat="1" ht="39.75" customHeight="1">
      <c r="A25" s="196" t="s">
        <v>105</v>
      </c>
      <c r="B25" s="196"/>
      <c r="C25" s="196"/>
      <c r="D25" s="196"/>
      <c r="E25" s="196"/>
      <c r="F25" s="196"/>
      <c r="G25" s="196"/>
      <c r="H25" s="196"/>
    </row>
    <row r="26" spans="1:8" s="86" customFormat="1" ht="29.25" customHeight="1">
      <c r="A26" s="87"/>
      <c r="B26" s="87"/>
      <c r="C26" s="88"/>
      <c r="D26" s="89"/>
      <c r="E26" s="90"/>
      <c r="F26" s="91"/>
      <c r="G26" s="92"/>
      <c r="H26" s="91"/>
    </row>
    <row r="27" spans="1:8" s="108" customFormat="1" ht="29.25" customHeight="1">
      <c r="A27" s="87"/>
      <c r="B27" s="87"/>
      <c r="C27" s="88"/>
      <c r="D27" s="89"/>
      <c r="E27" s="90"/>
      <c r="F27" s="187" t="str">
        <f>Data!C4&amp;"
"&amp;Data!C2</f>
        <v>HEAD MASTER
SRRZPHS NUZVID </v>
      </c>
      <c r="G27" s="187"/>
      <c r="H27" s="187"/>
    </row>
    <row r="28" spans="1:8" s="108" customFormat="1" ht="29.25" customHeight="1">
      <c r="A28" s="1"/>
      <c r="B28" s="1"/>
      <c r="C28" s="11"/>
      <c r="D28" s="12"/>
      <c r="E28" s="2"/>
      <c r="F28" s="13"/>
      <c r="G28" s="14"/>
      <c r="H28" s="13"/>
    </row>
    <row r="29" spans="1:8" s="108" customFormat="1" ht="29.25" customHeight="1">
      <c r="A29" s="1"/>
      <c r="B29" s="1"/>
      <c r="C29" s="11"/>
      <c r="D29" s="12"/>
      <c r="E29" s="2"/>
      <c r="F29" s="13"/>
      <c r="G29" s="14"/>
      <c r="H29" s="13"/>
    </row>
    <row r="30" spans="1:8" s="108" customFormat="1" ht="29.25" customHeight="1">
      <c r="A30" s="1"/>
      <c r="B30" s="1"/>
      <c r="C30" s="11"/>
      <c r="D30" s="12"/>
      <c r="E30" s="2"/>
      <c r="F30" s="13"/>
      <c r="G30" s="14"/>
      <c r="H30" s="13"/>
    </row>
    <row r="31" spans="1:8" s="108" customFormat="1" ht="29.25" customHeight="1">
      <c r="A31" s="1"/>
      <c r="B31" s="1"/>
      <c r="C31" s="11"/>
      <c r="D31" s="12"/>
      <c r="E31" s="2"/>
      <c r="F31" s="13"/>
      <c r="G31" s="14"/>
      <c r="H31" s="13"/>
    </row>
    <row r="32" spans="1:8" s="108" customFormat="1" ht="29.25" customHeight="1">
      <c r="A32" s="1"/>
      <c r="B32" s="1"/>
      <c r="C32" s="11"/>
      <c r="D32" s="12"/>
      <c r="E32" s="2"/>
      <c r="F32" s="13"/>
      <c r="G32" s="14"/>
      <c r="H32" s="13"/>
    </row>
    <row r="33" spans="1:8" s="108" customFormat="1" ht="29.25" customHeight="1">
      <c r="A33" s="1"/>
      <c r="B33" s="1"/>
      <c r="C33" s="11"/>
      <c r="D33" s="12"/>
      <c r="E33" s="2"/>
      <c r="F33" s="13"/>
      <c r="G33" s="14"/>
      <c r="H33" s="13"/>
    </row>
    <row r="34" spans="1:8" s="108" customFormat="1" ht="29.25" customHeight="1">
      <c r="A34" s="6"/>
      <c r="B34" s="6"/>
      <c r="C34" s="3"/>
      <c r="D34" s="4"/>
      <c r="E34" s="7"/>
      <c r="F34" s="5"/>
      <c r="G34" s="9"/>
      <c r="H34" s="5"/>
    </row>
    <row r="35" spans="1:8" s="108" customFormat="1" ht="29.25" customHeight="1">
      <c r="A35" s="6"/>
      <c r="B35" s="6"/>
      <c r="C35" s="3"/>
      <c r="D35" s="4"/>
      <c r="E35" s="7"/>
      <c r="F35" s="5"/>
      <c r="G35" s="9"/>
      <c r="H35" s="5"/>
    </row>
    <row r="36" spans="1:8" s="108" customFormat="1" ht="29.25" customHeight="1">
      <c r="A36" s="6"/>
      <c r="B36" s="6"/>
      <c r="C36" s="3"/>
      <c r="D36" s="4"/>
      <c r="E36" s="16"/>
      <c r="F36" s="17"/>
      <c r="G36" s="9"/>
      <c r="H36" s="5"/>
    </row>
    <row r="37" spans="1:8" s="108" customFormat="1" ht="29.25" customHeight="1">
      <c r="A37" s="6"/>
      <c r="B37" s="6"/>
      <c r="C37" s="3"/>
      <c r="D37" s="4"/>
      <c r="E37" s="7"/>
      <c r="F37" s="5"/>
      <c r="G37" s="9"/>
      <c r="H37" s="5"/>
    </row>
    <row r="38" spans="1:8" s="108" customFormat="1" ht="29.25" customHeight="1">
      <c r="A38" s="6"/>
      <c r="B38" s="6"/>
      <c r="C38" s="3"/>
      <c r="D38" s="4"/>
      <c r="E38" s="7"/>
      <c r="F38" s="5"/>
      <c r="G38" s="9"/>
      <c r="H38" s="5"/>
    </row>
    <row r="39" spans="1:8" s="108" customFormat="1" ht="29.25" customHeight="1">
      <c r="A39" s="6"/>
      <c r="B39" s="6"/>
      <c r="C39" s="3"/>
      <c r="D39" s="4"/>
      <c r="E39" s="7"/>
      <c r="F39" s="5"/>
      <c r="G39" s="9"/>
      <c r="H39" s="5"/>
    </row>
    <row r="40" spans="1:8" s="108" customFormat="1" ht="29.25" customHeight="1">
      <c r="A40" s="6"/>
      <c r="B40" s="6"/>
      <c r="C40" s="3"/>
      <c r="D40" s="4"/>
      <c r="E40" s="7"/>
      <c r="F40" s="5"/>
      <c r="G40" s="15"/>
      <c r="H40" s="15"/>
    </row>
    <row r="41" spans="1:8" s="108" customFormat="1" ht="29.25" customHeight="1">
      <c r="A41" s="6"/>
      <c r="B41" s="6"/>
      <c r="C41" s="3"/>
      <c r="D41" s="4"/>
      <c r="E41" s="7"/>
      <c r="F41" s="5"/>
      <c r="G41" s="9"/>
      <c r="H41" s="8"/>
    </row>
    <row r="42" spans="1:8" s="108" customFormat="1" ht="29.25" customHeight="1">
      <c r="A42" s="6"/>
      <c r="B42" s="6"/>
      <c r="C42" s="3"/>
      <c r="D42" s="4"/>
      <c r="E42" s="7"/>
      <c r="F42" s="5"/>
      <c r="G42" s="9"/>
      <c r="H42" s="5"/>
    </row>
    <row r="43" spans="1:8" s="108" customFormat="1" ht="29.25" customHeight="1">
      <c r="A43" s="6"/>
      <c r="B43" s="6"/>
      <c r="C43" s="3"/>
      <c r="D43" s="4"/>
      <c r="E43" s="7"/>
      <c r="F43" s="5"/>
      <c r="G43" s="9"/>
      <c r="H43" s="5"/>
    </row>
    <row r="44" spans="1:8" s="108" customFormat="1" ht="29.25" customHeight="1">
      <c r="A44" s="6"/>
      <c r="B44" s="6"/>
      <c r="C44" s="3"/>
      <c r="D44" s="4"/>
      <c r="E44" s="7"/>
      <c r="F44" s="5"/>
      <c r="G44" s="9"/>
      <c r="H44" s="5"/>
    </row>
    <row r="45" spans="1:8" s="108" customFormat="1" ht="29.25" customHeight="1">
      <c r="A45" s="6"/>
      <c r="B45" s="6"/>
      <c r="C45" s="3"/>
      <c r="D45" s="4"/>
      <c r="E45" s="7"/>
      <c r="F45" s="5"/>
      <c r="G45" s="9"/>
      <c r="H45" s="5"/>
    </row>
    <row r="46" spans="1:8" s="108" customFormat="1" ht="29.25" customHeight="1">
      <c r="A46" s="6"/>
      <c r="B46" s="6"/>
      <c r="C46" s="3"/>
      <c r="D46" s="4"/>
      <c r="E46" s="7"/>
      <c r="F46" s="5"/>
      <c r="G46" s="9"/>
      <c r="H46" s="5"/>
    </row>
    <row r="47" spans="1:8" s="108" customFormat="1" ht="29.25" customHeight="1">
      <c r="A47" s="6"/>
      <c r="B47" s="6"/>
      <c r="C47" s="3"/>
      <c r="D47" s="4"/>
      <c r="E47" s="7"/>
      <c r="F47" s="5"/>
      <c r="G47" s="9"/>
      <c r="H47" s="5"/>
    </row>
    <row r="48" spans="1:8" s="108" customFormat="1" ht="29.25" customHeight="1">
      <c r="A48" s="6"/>
      <c r="B48" s="6"/>
      <c r="C48" s="3"/>
      <c r="D48" s="4"/>
      <c r="E48" s="7"/>
      <c r="F48" s="5"/>
      <c r="G48" s="9"/>
      <c r="H48" s="5"/>
    </row>
    <row r="49" spans="1:8" s="108" customFormat="1" ht="29.25" customHeight="1">
      <c r="A49" s="6"/>
      <c r="B49" s="6"/>
      <c r="C49" s="3"/>
      <c r="D49" s="4"/>
      <c r="E49" s="7"/>
      <c r="F49" s="5"/>
      <c r="G49" s="9"/>
      <c r="H49" s="5"/>
    </row>
    <row r="50" spans="1:8" s="108" customFormat="1" ht="29.25" customHeight="1">
      <c r="A50" s="6"/>
      <c r="B50" s="6"/>
      <c r="C50" s="3"/>
      <c r="D50" s="4"/>
      <c r="E50" s="7"/>
      <c r="F50" s="5"/>
      <c r="G50" s="9"/>
      <c r="H50" s="5"/>
    </row>
    <row r="51" spans="1:8" s="86" customFormat="1" ht="29.25" customHeight="1">
      <c r="A51" s="6"/>
      <c r="B51" s="6"/>
      <c r="C51" s="3"/>
      <c r="D51" s="4"/>
      <c r="E51" s="7"/>
      <c r="F51" s="5"/>
      <c r="G51" s="9"/>
      <c r="H51" s="5"/>
    </row>
    <row r="52" spans="1:8" s="86" customFormat="1" ht="29.25" customHeight="1">
      <c r="A52" s="6"/>
      <c r="B52" s="6"/>
      <c r="C52" s="3"/>
      <c r="D52" s="4"/>
      <c r="E52" s="7"/>
      <c r="F52" s="5"/>
      <c r="G52" s="9"/>
      <c r="H52" s="5"/>
    </row>
    <row r="53" spans="1:8" s="86" customFormat="1" ht="29.25" customHeight="1">
      <c r="A53" s="6"/>
      <c r="B53" s="6"/>
      <c r="C53" s="3"/>
      <c r="D53" s="4"/>
      <c r="E53" s="7"/>
      <c r="F53" s="5"/>
      <c r="G53" s="9"/>
      <c r="H53" s="5"/>
    </row>
    <row r="54" spans="1:8" s="86" customFormat="1" ht="18" customHeight="1">
      <c r="A54" s="6"/>
      <c r="B54" s="6"/>
      <c r="C54" s="3"/>
      <c r="D54" s="4"/>
      <c r="E54" s="7"/>
      <c r="F54" s="5"/>
      <c r="G54" s="9"/>
      <c r="H54" s="5"/>
    </row>
    <row r="55" spans="1:8" s="86" customFormat="1" ht="27.75" customHeight="1">
      <c r="A55" s="6"/>
      <c r="B55" s="6"/>
      <c r="C55" s="3"/>
      <c r="D55" s="4"/>
      <c r="E55" s="7"/>
      <c r="F55" s="5"/>
      <c r="G55" s="9"/>
      <c r="H55" s="5"/>
    </row>
    <row r="56" spans="1:8" s="86" customFormat="1" ht="29.25" customHeight="1">
      <c r="A56" s="6"/>
      <c r="B56" s="6"/>
      <c r="C56" s="3"/>
      <c r="D56" s="4"/>
      <c r="E56" s="7"/>
      <c r="F56" s="5"/>
      <c r="G56" s="9"/>
      <c r="H56" s="5"/>
    </row>
    <row r="57" ht="29.25" customHeight="1"/>
    <row r="58" ht="29.25" customHeight="1"/>
    <row r="59" ht="29.25" customHeight="1"/>
    <row r="60" ht="29.25" customHeight="1"/>
    <row r="61" ht="29.25" customHeight="1"/>
    <row r="62" ht="29.25" customHeight="1"/>
    <row r="69" ht="26.25" customHeight="1"/>
  </sheetData>
  <sheetProtection password="A18B" sheet="1" objects="1" scenarios="1" formatRows="0" selectLockedCells="1"/>
  <mergeCells count="8">
    <mergeCell ref="A1:H1"/>
    <mergeCell ref="F27:H27"/>
    <mergeCell ref="A2:H2"/>
    <mergeCell ref="A3:H3"/>
    <mergeCell ref="A13:H13"/>
    <mergeCell ref="A16:H16"/>
    <mergeCell ref="A5:B5"/>
    <mergeCell ref="A25:H25"/>
  </mergeCells>
  <conditionalFormatting sqref="A20:H20">
    <cfRule type="expression" priority="142" dxfId="7" stopIfTrue="1">
      <formula>$G$20=0</formula>
    </cfRule>
  </conditionalFormatting>
  <conditionalFormatting sqref="A21:H21">
    <cfRule type="expression" priority="141" dxfId="7" stopIfTrue="1">
      <formula>$G$21=0</formula>
    </cfRule>
  </conditionalFormatting>
  <conditionalFormatting sqref="A22:H22">
    <cfRule type="expression" priority="140" dxfId="7" stopIfTrue="1">
      <formula>$G$22=0</formula>
    </cfRule>
  </conditionalFormatting>
  <conditionalFormatting sqref="A23:H23">
    <cfRule type="expression" priority="139" dxfId="7" stopIfTrue="1">
      <formula>$G$23=0</formula>
    </cfRule>
  </conditionalFormatting>
  <conditionalFormatting sqref="A24:H24">
    <cfRule type="expression" priority="138" dxfId="7" stopIfTrue="1">
      <formula>$G$24=0</formula>
    </cfRule>
  </conditionalFormatting>
  <dataValidations count="1">
    <dataValidation allowBlank="1" showInputMessage="1" showErrorMessage="1" prompt="Open filter in any column and click &quot;OK&quot; then Print out the Proceedings" sqref="E18 C7:D8"/>
  </dataValidations>
  <printOptions horizontalCentered="1"/>
  <pageMargins left="0.5118110236220472" right="0.5118110236220472" top="0.7480314960629921" bottom="0.7480314960629921" header="0.5118110236220472" footer="0.5118110236220472"/>
  <pageSetup horizontalDpi="180" verticalDpi="18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BA63"/>
  <sheetViews>
    <sheetView zoomScalePageLayoutView="0" workbookViewId="0" topLeftCell="A1">
      <selection activeCell="A2" sqref="A2:AO2"/>
    </sheetView>
  </sheetViews>
  <sheetFormatPr defaultColWidth="9.140625" defaultRowHeight="12.75"/>
  <cols>
    <col min="1" max="2" width="10.140625" style="136" bestFit="1" customWidth="1"/>
    <col min="3" max="3" width="5.28125" style="136" bestFit="1" customWidth="1"/>
    <col min="4" max="4" width="6.00390625" style="136" bestFit="1" customWidth="1"/>
    <col min="5" max="6" width="4.421875" style="136" customWidth="1"/>
    <col min="7" max="7" width="4.28125" style="136" customWidth="1"/>
    <col min="8" max="9" width="6.28125" style="136" customWidth="1"/>
    <col min="10" max="10" width="6.00390625" style="136" bestFit="1" customWidth="1"/>
    <col min="11" max="12" width="4.421875" style="136" customWidth="1"/>
    <col min="13" max="13" width="7.00390625" style="136" customWidth="1"/>
    <col min="14" max="14" width="4.7109375" style="136" customWidth="1"/>
    <col min="15" max="15" width="6.140625" style="136" customWidth="1"/>
    <col min="16" max="18" width="3.8515625" style="136" customWidth="1"/>
    <col min="19" max="19" width="6.00390625" style="136" bestFit="1" customWidth="1"/>
    <col min="20" max="20" width="5.57421875" style="136" customWidth="1"/>
    <col min="21" max="21" width="6.00390625" style="136" bestFit="1" customWidth="1"/>
    <col min="22" max="22" width="4.140625" style="136" bestFit="1" customWidth="1"/>
    <col min="23" max="23" width="4.421875" style="136" bestFit="1" customWidth="1"/>
    <col min="24" max="24" width="6.28125" style="136" bestFit="1" customWidth="1"/>
    <col min="25" max="25" width="4.421875" style="136" customWidth="1"/>
    <col min="26" max="26" width="6.00390625" style="136" bestFit="1" customWidth="1"/>
    <col min="27" max="27" width="3.00390625" style="136" customWidth="1"/>
    <col min="28" max="28" width="2.8515625" style="136" customWidth="1"/>
    <col min="29" max="29" width="3.7109375" style="136" customWidth="1"/>
    <col min="30" max="30" width="5.00390625" style="136" bestFit="1" customWidth="1"/>
    <col min="31" max="31" width="5.00390625" style="136" customWidth="1"/>
    <col min="32" max="32" width="4.7109375" style="136" customWidth="1"/>
    <col min="33" max="33" width="4.140625" style="136" bestFit="1" customWidth="1"/>
    <col min="34" max="34" width="4.421875" style="136" customWidth="1"/>
    <col min="35" max="35" width="6.28125" style="136" bestFit="1" customWidth="1"/>
    <col min="36" max="36" width="4.8515625" style="136" bestFit="1" customWidth="1"/>
    <col min="37" max="37" width="5.00390625" style="136" bestFit="1" customWidth="1"/>
    <col min="38" max="38" width="6.57421875" style="136" bestFit="1" customWidth="1"/>
    <col min="39" max="39" width="8.57421875" style="136" bestFit="1" customWidth="1"/>
    <col min="40" max="40" width="7.57421875" style="136" bestFit="1" customWidth="1"/>
    <col min="41" max="41" width="9.28125" style="136" bestFit="1" customWidth="1"/>
    <col min="42" max="42" width="12.00390625" style="110" hidden="1" customWidth="1"/>
    <col min="43" max="43" width="6.00390625" style="110" hidden="1" customWidth="1"/>
    <col min="44" max="47" width="7.8515625" style="110" hidden="1" customWidth="1"/>
    <col min="48" max="48" width="9.140625" style="110" hidden="1" customWidth="1"/>
    <col min="49" max="50" width="10.140625" style="110" hidden="1" customWidth="1"/>
    <col min="51" max="58" width="9.140625" style="110" hidden="1" customWidth="1"/>
    <col min="59" max="85" width="9.140625" style="110" customWidth="1"/>
    <col min="86" max="16384" width="9.140625" style="110" customWidth="1"/>
  </cols>
  <sheetData>
    <row r="1" spans="1:41" ht="27" customHeight="1">
      <c r="A1" s="200" t="s">
        <v>134</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c r="AE1" s="201"/>
      <c r="AF1" s="201"/>
      <c r="AG1" s="201"/>
      <c r="AH1" s="201"/>
      <c r="AI1" s="201"/>
      <c r="AJ1" s="201"/>
      <c r="AK1" s="201"/>
      <c r="AL1" s="201"/>
      <c r="AM1" s="201"/>
      <c r="AN1" s="201"/>
      <c r="AO1" s="201"/>
    </row>
    <row r="2" spans="1:41" ht="25.5" customHeight="1">
      <c r="A2" s="202" t="str">
        <f>"Claim for Annual Grade Increment arrears of  "&amp;Data!C9&amp;", "&amp;Data!C10</f>
        <v>Claim for Annual Grade Increment arrears of  J MALLI, SA (Maths)  </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row>
    <row r="3" spans="1:44" ht="17.25" customHeight="1">
      <c r="A3" s="203" t="str">
        <f>"Vide the Proceedings RC No : "&amp;Data!C5&amp;" dt."&amp;Data!F103&amp;" of the "&amp;PROPER(Data!C4)&amp;", "&amp;Data!C2</f>
        <v>Vide the Proceedings RC No : 12/HM/INC/2019 dt.10-9-2019 of the Head Master, SRRZPHS NUZVID </v>
      </c>
      <c r="B3" s="203"/>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c r="AG3" s="203"/>
      <c r="AH3" s="203"/>
      <c r="AI3" s="203"/>
      <c r="AJ3" s="203"/>
      <c r="AK3" s="203"/>
      <c r="AL3" s="203"/>
      <c r="AM3" s="203"/>
      <c r="AN3" s="203"/>
      <c r="AO3" s="203"/>
      <c r="AR3" s="166">
        <v>43647</v>
      </c>
    </row>
    <row r="4" spans="1:41" ht="17.25" customHeight="1">
      <c r="A4" s="204" t="s">
        <v>79</v>
      </c>
      <c r="B4" s="205"/>
      <c r="C4" s="206" t="s">
        <v>80</v>
      </c>
      <c r="D4" s="204" t="s">
        <v>81</v>
      </c>
      <c r="E4" s="204"/>
      <c r="F4" s="204"/>
      <c r="G4" s="204"/>
      <c r="H4" s="204"/>
      <c r="I4" s="204"/>
      <c r="J4" s="204"/>
      <c r="K4" s="204"/>
      <c r="L4" s="204"/>
      <c r="M4" s="204"/>
      <c r="N4" s="204"/>
      <c r="O4" s="204" t="s">
        <v>82</v>
      </c>
      <c r="P4" s="204"/>
      <c r="Q4" s="204"/>
      <c r="R4" s="204"/>
      <c r="S4" s="204"/>
      <c r="T4" s="204"/>
      <c r="U4" s="204"/>
      <c r="V4" s="204"/>
      <c r="W4" s="204"/>
      <c r="X4" s="204"/>
      <c r="Y4" s="204"/>
      <c r="Z4" s="204" t="s">
        <v>83</v>
      </c>
      <c r="AA4" s="204"/>
      <c r="AB4" s="204"/>
      <c r="AC4" s="204"/>
      <c r="AD4" s="204"/>
      <c r="AE4" s="204"/>
      <c r="AF4" s="204"/>
      <c r="AG4" s="204"/>
      <c r="AH4" s="204"/>
      <c r="AI4" s="204"/>
      <c r="AJ4" s="204"/>
      <c r="AK4" s="204"/>
      <c r="AL4" s="204"/>
      <c r="AM4" s="204"/>
      <c r="AN4" s="204"/>
      <c r="AO4" s="207" t="s">
        <v>84</v>
      </c>
    </row>
    <row r="5" spans="1:52" s="115" customFormat="1" ht="34.5" customHeight="1">
      <c r="A5" s="111" t="s">
        <v>18</v>
      </c>
      <c r="B5" s="112" t="s">
        <v>85</v>
      </c>
      <c r="C5" s="206"/>
      <c r="D5" s="113" t="s">
        <v>86</v>
      </c>
      <c r="E5" s="111" t="s">
        <v>87</v>
      </c>
      <c r="F5" s="111" t="s">
        <v>88</v>
      </c>
      <c r="G5" s="111" t="s">
        <v>89</v>
      </c>
      <c r="H5" s="113" t="s">
        <v>90</v>
      </c>
      <c r="I5" s="113" t="s">
        <v>91</v>
      </c>
      <c r="J5" s="113" t="s">
        <v>92</v>
      </c>
      <c r="K5" s="113" t="s">
        <v>93</v>
      </c>
      <c r="L5" s="113" t="s">
        <v>94</v>
      </c>
      <c r="M5" s="113" t="s">
        <v>95</v>
      </c>
      <c r="N5" s="113" t="s">
        <v>96</v>
      </c>
      <c r="O5" s="113" t="s">
        <v>86</v>
      </c>
      <c r="P5" s="111" t="s">
        <v>87</v>
      </c>
      <c r="Q5" s="111" t="s">
        <v>88</v>
      </c>
      <c r="R5" s="111" t="s">
        <v>89</v>
      </c>
      <c r="S5" s="113" t="s">
        <v>90</v>
      </c>
      <c r="T5" s="113" t="s">
        <v>91</v>
      </c>
      <c r="U5" s="113" t="s">
        <v>92</v>
      </c>
      <c r="V5" s="113" t="s">
        <v>93</v>
      </c>
      <c r="W5" s="113" t="s">
        <v>94</v>
      </c>
      <c r="X5" s="113" t="s">
        <v>95</v>
      </c>
      <c r="Y5" s="113" t="s">
        <v>96</v>
      </c>
      <c r="Z5" s="113" t="s">
        <v>86</v>
      </c>
      <c r="AA5" s="111" t="s">
        <v>87</v>
      </c>
      <c r="AB5" s="111" t="s">
        <v>88</v>
      </c>
      <c r="AC5" s="111" t="s">
        <v>89</v>
      </c>
      <c r="AD5" s="113" t="s">
        <v>90</v>
      </c>
      <c r="AE5" s="113" t="s">
        <v>91</v>
      </c>
      <c r="AF5" s="113" t="s">
        <v>92</v>
      </c>
      <c r="AG5" s="113" t="s">
        <v>93</v>
      </c>
      <c r="AH5" s="113" t="s">
        <v>94</v>
      </c>
      <c r="AI5" s="113" t="s">
        <v>95</v>
      </c>
      <c r="AJ5" s="113" t="s">
        <v>97</v>
      </c>
      <c r="AK5" s="113" t="s">
        <v>96</v>
      </c>
      <c r="AL5" s="114" t="s">
        <v>98</v>
      </c>
      <c r="AM5" s="113" t="s">
        <v>99</v>
      </c>
      <c r="AN5" s="113" t="s">
        <v>100</v>
      </c>
      <c r="AO5" s="208"/>
      <c r="AZ5" s="115" t="s">
        <v>124</v>
      </c>
    </row>
    <row r="6" spans="1:53" s="123" customFormat="1" ht="22.5" customHeight="1">
      <c r="A6" s="150">
        <f>'Inc Proceedings'!E19</f>
        <v>44228</v>
      </c>
      <c r="B6" s="140">
        <f aca="true" t="shared" si="0" ref="B6:B17">DATE(YEAR(A6),MONTH(A6)+1,1)-1</f>
        <v>44255</v>
      </c>
      <c r="C6" s="117">
        <f aca="true" t="shared" si="1" ref="C6:C11">(B6-A6)+1</f>
        <v>28</v>
      </c>
      <c r="D6" s="118">
        <f>IF(A6&gt;Data!$C$20,0,ROUND('Form 49 '!$O$10*C6/AQ6,0))</f>
        <v>44870</v>
      </c>
      <c r="E6" s="118">
        <f>IF(A6&gt;Data!$C$20,0,ROUND(Data!$C$15*C6/AQ6,0))</f>
        <v>150</v>
      </c>
      <c r="F6" s="118">
        <f>IF(A6&gt;Data!$C$20,0,ROUND(Data!$C$16*C6/AQ6,0))</f>
        <v>50</v>
      </c>
      <c r="G6" s="118">
        <f>IF(A6&gt;Data!$C$20,0,ROUND(Data!$C$17*C6/AQ6,0))</f>
        <v>150</v>
      </c>
      <c r="H6" s="118">
        <f>ROUND(D6*Data!$C$18%,0)</f>
        <v>13637</v>
      </c>
      <c r="I6" s="118">
        <f>ROUND(D6*Data!$C$19%,0)</f>
        <v>6506</v>
      </c>
      <c r="J6" s="118">
        <f>IF(A6&gt;=$AR$3,ROUND(D6*27%,0),0)</f>
        <v>12115</v>
      </c>
      <c r="K6" s="118">
        <f>ROUND(IF(Data!$C$21="Not Applicable",0,AZ6)*C6/AQ6,0)</f>
        <v>0</v>
      </c>
      <c r="L6" s="118">
        <f>IF(A6&gt;Data!$C$20,0,ROUND(Data!$T$106*C6/AQ6,0))</f>
        <v>0</v>
      </c>
      <c r="M6" s="118">
        <f aca="true" t="shared" si="2" ref="M6:M17">SUM(D6:L6)</f>
        <v>77478</v>
      </c>
      <c r="N6" s="119">
        <f>IF(Data!$C$21="Not Applicable",IF(C6&gt;AQ6/2,Bill!AS6,0),0)</f>
        <v>200</v>
      </c>
      <c r="O6" s="118">
        <f>IF(A6&gt;Data!$C$20,0,ROUND('Form 49 '!$M$10*C6/AQ6,0))</f>
        <v>43680</v>
      </c>
      <c r="P6" s="118">
        <f>IF(A6&gt;Data!$C$20,0,ROUND(Data!$C$15*C6/AQ6,0))</f>
        <v>150</v>
      </c>
      <c r="Q6" s="118">
        <f>IF(A6&gt;Data!$C$20,0,ROUND(Data!$C$16*C6/AQ6,0))</f>
        <v>50</v>
      </c>
      <c r="R6" s="118">
        <f>IF(A6&gt;Data!$C$20,0,ROUND(Data!$C$17*C6/AQ6,0))</f>
        <v>150</v>
      </c>
      <c r="S6" s="118">
        <f>ROUND(O6*Data!$C$18%,0)</f>
        <v>13275</v>
      </c>
      <c r="T6" s="118">
        <f>ROUND(O6*Data!$C$19%,0)</f>
        <v>6334</v>
      </c>
      <c r="U6" s="118">
        <f>IF(A6&gt;=$AR$3,ROUND(O6*27%,0),0)</f>
        <v>11794</v>
      </c>
      <c r="V6" s="118">
        <f>ROUND(IF(Data!$C$21="Not Applicable",0,BA6)*C6/AQ6,0)</f>
        <v>0</v>
      </c>
      <c r="W6" s="118">
        <f>IF(L6&gt;Data!$C$20,0,ROUND(Data!$T$106*C6/AQ6,0))</f>
        <v>0</v>
      </c>
      <c r="X6" s="118">
        <f aca="true" t="shared" si="3" ref="X6:X11">SUM(O6:W6)</f>
        <v>75433</v>
      </c>
      <c r="Y6" s="119">
        <f>IF(Data!$C$21="Not Applicable",IF(C6&gt;AQ6/2,AU6,0),0)</f>
        <v>200</v>
      </c>
      <c r="Z6" s="118">
        <f aca="true" t="shared" si="4" ref="Z6:AI17">D6-O6</f>
        <v>1190</v>
      </c>
      <c r="AA6" s="118">
        <f t="shared" si="4"/>
        <v>0</v>
      </c>
      <c r="AB6" s="118">
        <f t="shared" si="4"/>
        <v>0</v>
      </c>
      <c r="AC6" s="118">
        <f t="shared" si="4"/>
        <v>0</v>
      </c>
      <c r="AD6" s="118">
        <f t="shared" si="4"/>
        <v>362</v>
      </c>
      <c r="AE6" s="118">
        <f t="shared" si="4"/>
        <v>172</v>
      </c>
      <c r="AF6" s="118">
        <f t="shared" si="4"/>
        <v>321</v>
      </c>
      <c r="AG6" s="118">
        <f t="shared" si="4"/>
        <v>0</v>
      </c>
      <c r="AH6" s="118">
        <f t="shared" si="4"/>
        <v>0</v>
      </c>
      <c r="AI6" s="118">
        <f>SUM(Z6:AH6)</f>
        <v>2045</v>
      </c>
      <c r="AJ6" s="118">
        <v>0</v>
      </c>
      <c r="AK6" s="118">
        <f>N6-Y6</f>
        <v>0</v>
      </c>
      <c r="AL6" s="120">
        <f>IF(Data!$C$23="CPS",ROUND((Z6+AD6)*10%,0),0)</f>
        <v>0</v>
      </c>
      <c r="AM6" s="118">
        <f aca="true" t="shared" si="5" ref="AM6:AM17">SUM(AJ6:AL6)</f>
        <v>0</v>
      </c>
      <c r="AN6" s="120">
        <f aca="true" t="shared" si="6" ref="AN6:AN17">AI6-AM6</f>
        <v>2045</v>
      </c>
      <c r="AO6" s="121"/>
      <c r="AP6" s="122">
        <f aca="true" t="shared" si="7" ref="AP6:AP17">MONTH(A6)*1</f>
        <v>2</v>
      </c>
      <c r="AQ6" s="122">
        <f aca="true" t="shared" si="8" ref="AQ6:AQ17">DAY(DATE(YEAR(A6),MONTH(A6)+1,1)-1)*1</f>
        <v>28</v>
      </c>
      <c r="AR6" s="139">
        <f aca="true" t="shared" si="9" ref="AR6:AR17">M6</f>
        <v>77478</v>
      </c>
      <c r="AS6" s="124">
        <f aca="true" t="shared" si="10" ref="AS6:AS17">IF(AR6&gt;20000,200,IF(AR6&gt;15000,150,IF(AR6&gt;10000,100,IF(AR6&gt;5000,80,0))))</f>
        <v>200</v>
      </c>
      <c r="AT6" s="139">
        <f aca="true" t="shared" si="11" ref="AT6:AT17">X6</f>
        <v>75433</v>
      </c>
      <c r="AU6" s="124">
        <f aca="true" t="shared" si="12" ref="AU6:AU17">IF(AT6&gt;20000,200,IF(AT6&gt;15000,150,IF(AT6&gt;10000,100,IF(AT6&gt;5000,80,0))))</f>
        <v>200</v>
      </c>
      <c r="AW6" s="140">
        <f>A6</f>
        <v>44228</v>
      </c>
      <c r="AX6" s="140">
        <f aca="true" t="shared" si="13" ref="AX6:AX17">DATE(YEAR(AW6),MONTH(AW6)+1,1)-1</f>
        <v>44255</v>
      </c>
      <c r="AZ6" s="123">
        <f>IF(Data!$C$21="CA",IF(ROUND(D6*10%,0)&gt;1350,1350,ROUND(D6*10%,0)),0)</f>
        <v>0</v>
      </c>
      <c r="BA6" s="123">
        <f>IF(Data!$C$21="CA",IF(ROUND(O6*10%,0)&gt;1350,1350,ROUND(D6*10%,0)),0)</f>
        <v>0</v>
      </c>
    </row>
    <row r="7" spans="1:53" s="123" customFormat="1" ht="22.5" customHeight="1">
      <c r="A7" s="116">
        <f aca="true" t="shared" si="14" ref="A7:A17">B6+1</f>
        <v>44256</v>
      </c>
      <c r="B7" s="151">
        <f t="shared" si="0"/>
        <v>44286</v>
      </c>
      <c r="C7" s="117">
        <f t="shared" si="1"/>
        <v>31</v>
      </c>
      <c r="D7" s="118">
        <f>IF(A7&gt;Data!$C$20,0,ROUND('Form 49 '!$O$10*C7/AQ7,0))</f>
        <v>44870</v>
      </c>
      <c r="E7" s="118">
        <f>IF(A7&gt;Data!$C$20,0,ROUND(Data!$C$15*C7/AQ7,0))</f>
        <v>150</v>
      </c>
      <c r="F7" s="118">
        <f>IF(A7&gt;Data!$C$20,0,ROUND(Data!$C$16*C7/AQ7,0))</f>
        <v>50</v>
      </c>
      <c r="G7" s="118">
        <f>IF(A7&gt;Data!$C$20,0,ROUND(Data!$C$17*C7/AQ7,0))</f>
        <v>150</v>
      </c>
      <c r="H7" s="118">
        <f>ROUND(D7*Data!$C$18%,0)</f>
        <v>13637</v>
      </c>
      <c r="I7" s="118">
        <f>ROUND(D7*Data!$C$19%,0)</f>
        <v>6506</v>
      </c>
      <c r="J7" s="118">
        <f aca="true" t="shared" si="15" ref="J7:J17">IF(A7&gt;=$AR$3,ROUND(D7*27%,0),0)</f>
        <v>12115</v>
      </c>
      <c r="K7" s="118">
        <f>ROUND(IF(Data!$C$21="Not Applicable",0,AZ7)*C7/AQ7,0)</f>
        <v>0</v>
      </c>
      <c r="L7" s="118">
        <f>IF(A7&gt;Data!$C$20,0,ROUND(Data!$T$106*C7/AQ7,0))</f>
        <v>0</v>
      </c>
      <c r="M7" s="118">
        <f t="shared" si="2"/>
        <v>77478</v>
      </c>
      <c r="N7" s="119">
        <f>IF(Data!$C$21="Not Applicable",IF(C7&gt;AQ7/2,Bill!AS7,0),0)</f>
        <v>200</v>
      </c>
      <c r="O7" s="118">
        <f>IF(A7&gt;Data!$C$20,0,ROUND('Form 49 '!$M$10*C7/AQ7,0))</f>
        <v>43680</v>
      </c>
      <c r="P7" s="118">
        <f>IF(A7&gt;Data!$C$20,0,ROUND(Data!$C$15*C7/AQ7,0))</f>
        <v>150</v>
      </c>
      <c r="Q7" s="118">
        <f>IF(A7&gt;Data!$C$20,0,ROUND(Data!$C$16*C7/AQ7,0))</f>
        <v>50</v>
      </c>
      <c r="R7" s="118">
        <f>IF(A7&gt;Data!$C$20,0,ROUND(Data!$C$17*C7/AQ7,0))</f>
        <v>150</v>
      </c>
      <c r="S7" s="118">
        <f>ROUND(O7*Data!$C$18%,0)</f>
        <v>13275</v>
      </c>
      <c r="T7" s="118">
        <f>ROUND(O7*Data!$C$19%,0)</f>
        <v>6334</v>
      </c>
      <c r="U7" s="118">
        <f aca="true" t="shared" si="16" ref="U7:U17">IF(A7&gt;=$AR$3,ROUND(O7*27%,0),0)</f>
        <v>11794</v>
      </c>
      <c r="V7" s="118">
        <f>ROUND(IF(Data!$C$21="Not Applicable",0,BA7)*C7/AQ7,0)</f>
        <v>0</v>
      </c>
      <c r="W7" s="118">
        <f>IF(L7&gt;Data!$C$20,0,ROUND(Data!$T$106*C7/AQ7,0))</f>
        <v>0</v>
      </c>
      <c r="X7" s="118">
        <f t="shared" si="3"/>
        <v>75433</v>
      </c>
      <c r="Y7" s="119">
        <f>IF(Data!$C$21="Not Applicable",IF(C7&gt;AQ7/2,AU7,0),0)</f>
        <v>200</v>
      </c>
      <c r="Z7" s="118">
        <f t="shared" si="4"/>
        <v>1190</v>
      </c>
      <c r="AA7" s="118">
        <f t="shared" si="4"/>
        <v>0</v>
      </c>
      <c r="AB7" s="118">
        <f t="shared" si="4"/>
        <v>0</v>
      </c>
      <c r="AC7" s="118">
        <f t="shared" si="4"/>
        <v>0</v>
      </c>
      <c r="AD7" s="118">
        <f t="shared" si="4"/>
        <v>362</v>
      </c>
      <c r="AE7" s="118">
        <f t="shared" si="4"/>
        <v>172</v>
      </c>
      <c r="AF7" s="118">
        <f t="shared" si="4"/>
        <v>321</v>
      </c>
      <c r="AG7" s="118">
        <f t="shared" si="4"/>
        <v>0</v>
      </c>
      <c r="AH7" s="118">
        <f t="shared" si="4"/>
        <v>0</v>
      </c>
      <c r="AI7" s="118">
        <f t="shared" si="4"/>
        <v>2045</v>
      </c>
      <c r="AJ7" s="118">
        <v>0</v>
      </c>
      <c r="AK7" s="118">
        <f aca="true" t="shared" si="17" ref="AK7:AK17">IF(C7&gt;AQ7/2,(N7-Y7),0)</f>
        <v>0</v>
      </c>
      <c r="AL7" s="120">
        <f>IF(Data!$C$23="CPS",ROUND((Z7+AD7)*10%,0),0)</f>
        <v>0</v>
      </c>
      <c r="AM7" s="118">
        <f t="shared" si="5"/>
        <v>0</v>
      </c>
      <c r="AN7" s="120">
        <f t="shared" si="6"/>
        <v>2045</v>
      </c>
      <c r="AO7" s="121"/>
      <c r="AP7" s="122">
        <f t="shared" si="7"/>
        <v>3</v>
      </c>
      <c r="AQ7" s="122">
        <f t="shared" si="8"/>
        <v>31</v>
      </c>
      <c r="AR7" s="139">
        <f t="shared" si="9"/>
        <v>77478</v>
      </c>
      <c r="AS7" s="124">
        <f t="shared" si="10"/>
        <v>200</v>
      </c>
      <c r="AT7" s="139">
        <f t="shared" si="11"/>
        <v>75433</v>
      </c>
      <c r="AU7" s="124">
        <f t="shared" si="12"/>
        <v>200</v>
      </c>
      <c r="AW7" s="140">
        <f aca="true" t="shared" si="18" ref="AW7:AW17">AX6+1</f>
        <v>44256</v>
      </c>
      <c r="AX7" s="140">
        <f t="shared" si="13"/>
        <v>44286</v>
      </c>
      <c r="AZ7" s="123">
        <f>IF(Data!$C$21="CA",IF(ROUND(D7*10%,0)&gt;1350,1350,ROUND(D7*10%,0)),0)</f>
        <v>0</v>
      </c>
      <c r="BA7" s="123">
        <f>IF(Data!$C$21="CA",IF(ROUND(O7*10%,0)&gt;1350,1350,ROUND(D7*10%,0)),0)</f>
        <v>0</v>
      </c>
    </row>
    <row r="8" spans="1:53" s="123" customFormat="1" ht="22.5" customHeight="1">
      <c r="A8" s="116">
        <f t="shared" si="14"/>
        <v>44287</v>
      </c>
      <c r="B8" s="151">
        <f t="shared" si="0"/>
        <v>44316</v>
      </c>
      <c r="C8" s="117">
        <f t="shared" si="1"/>
        <v>30</v>
      </c>
      <c r="D8" s="118">
        <f>IF(A8&gt;Data!$C$20,0,ROUND('Form 49 '!$O$10*C8/AQ8,0))</f>
        <v>0</v>
      </c>
      <c r="E8" s="118">
        <f>IF(A8&gt;Data!$C$20,0,ROUND(Data!$C$15*C8/AQ8,0))</f>
        <v>0</v>
      </c>
      <c r="F8" s="118">
        <f>IF(A8&gt;Data!$C$20,0,ROUND(Data!$C$16*C8/AQ8,0))</f>
        <v>0</v>
      </c>
      <c r="G8" s="118">
        <f>IF(A8&gt;Data!$C$20,0,ROUND(Data!$C$17*C8/AQ8,0))</f>
        <v>0</v>
      </c>
      <c r="H8" s="118">
        <f>ROUND(D8*Data!$C$18%,0)</f>
        <v>0</v>
      </c>
      <c r="I8" s="118">
        <f>ROUND(D8*Data!$C$19%,0)</f>
        <v>0</v>
      </c>
      <c r="J8" s="118">
        <f t="shared" si="15"/>
        <v>0</v>
      </c>
      <c r="K8" s="118">
        <f>ROUND(IF(Data!$C$21="Not Applicable",0,AZ8)*C8/AQ8,0)</f>
        <v>0</v>
      </c>
      <c r="L8" s="118">
        <f>IF(A8&gt;Data!$C$20,0,ROUND(Data!$T$106*C8/AQ8,0))</f>
        <v>0</v>
      </c>
      <c r="M8" s="118">
        <f t="shared" si="2"/>
        <v>0</v>
      </c>
      <c r="N8" s="119">
        <f>IF(Data!$C$21="Not Applicable",IF(C8&gt;AQ8/2,Bill!AS8,0),0)</f>
        <v>0</v>
      </c>
      <c r="O8" s="118">
        <f>IF(A8&gt;Data!$C$20,0,ROUND('Form 49 '!$M$10*C8/AQ8,0))</f>
        <v>0</v>
      </c>
      <c r="P8" s="118">
        <f>IF(A8&gt;Data!$C$20,0,ROUND(Data!$C$15*C8/AQ8,0))</f>
        <v>0</v>
      </c>
      <c r="Q8" s="118">
        <f>IF(A8&gt;Data!$C$20,0,ROUND(Data!$C$16*C8/AQ8,0))</f>
        <v>0</v>
      </c>
      <c r="R8" s="118">
        <f>IF(A8&gt;Data!$C$20,0,ROUND(Data!$C$17*C8/AQ8,0))</f>
        <v>0</v>
      </c>
      <c r="S8" s="118">
        <f>ROUND(O8*Data!$C$18%,0)</f>
        <v>0</v>
      </c>
      <c r="T8" s="118">
        <f>ROUND(O8*Data!$C$19%,0)</f>
        <v>0</v>
      </c>
      <c r="U8" s="118">
        <f t="shared" si="16"/>
        <v>0</v>
      </c>
      <c r="V8" s="118">
        <f>ROUND(IF(Data!$C$21="Not Applicable",0,BA8)*C8/AQ8,0)</f>
        <v>0</v>
      </c>
      <c r="W8" s="118">
        <f>IF(L8&gt;Data!$C$20,0,ROUND(Data!$T$106*C8/AQ8,0))</f>
        <v>0</v>
      </c>
      <c r="X8" s="118">
        <f t="shared" si="3"/>
        <v>0</v>
      </c>
      <c r="Y8" s="119">
        <f>IF(Data!$C$21="Not Applicable",IF(C8&gt;AQ8/2,AU8,0),0)</f>
        <v>0</v>
      </c>
      <c r="Z8" s="118">
        <f t="shared" si="4"/>
        <v>0</v>
      </c>
      <c r="AA8" s="118">
        <f t="shared" si="4"/>
        <v>0</v>
      </c>
      <c r="AB8" s="118">
        <f t="shared" si="4"/>
        <v>0</v>
      </c>
      <c r="AC8" s="118">
        <f t="shared" si="4"/>
        <v>0</v>
      </c>
      <c r="AD8" s="118">
        <f t="shared" si="4"/>
        <v>0</v>
      </c>
      <c r="AE8" s="118">
        <f t="shared" si="4"/>
        <v>0</v>
      </c>
      <c r="AF8" s="118">
        <f t="shared" si="4"/>
        <v>0</v>
      </c>
      <c r="AG8" s="118">
        <f t="shared" si="4"/>
        <v>0</v>
      </c>
      <c r="AH8" s="118">
        <f t="shared" si="4"/>
        <v>0</v>
      </c>
      <c r="AI8" s="118">
        <f t="shared" si="4"/>
        <v>0</v>
      </c>
      <c r="AJ8" s="118">
        <v>0</v>
      </c>
      <c r="AK8" s="118">
        <f t="shared" si="17"/>
        <v>0</v>
      </c>
      <c r="AL8" s="120">
        <f>IF(Data!$C$23="CPS",ROUND((Z8+AD8)*10%,0),0)</f>
        <v>0</v>
      </c>
      <c r="AM8" s="118">
        <f t="shared" si="5"/>
        <v>0</v>
      </c>
      <c r="AN8" s="120">
        <f t="shared" si="6"/>
        <v>0</v>
      </c>
      <c r="AO8" s="121"/>
      <c r="AP8" s="122">
        <f t="shared" si="7"/>
        <v>4</v>
      </c>
      <c r="AQ8" s="122">
        <f t="shared" si="8"/>
        <v>30</v>
      </c>
      <c r="AR8" s="139">
        <f t="shared" si="9"/>
        <v>0</v>
      </c>
      <c r="AS8" s="124">
        <f t="shared" si="10"/>
        <v>0</v>
      </c>
      <c r="AT8" s="139">
        <f t="shared" si="11"/>
        <v>0</v>
      </c>
      <c r="AU8" s="124">
        <f t="shared" si="12"/>
        <v>0</v>
      </c>
      <c r="AW8" s="140">
        <f t="shared" si="18"/>
        <v>44287</v>
      </c>
      <c r="AX8" s="140">
        <f t="shared" si="13"/>
        <v>44316</v>
      </c>
      <c r="AZ8" s="123">
        <f>IF(Data!$C$21="CA",IF(ROUND(D8*10%,0)&gt;1350,1350,ROUND(D8*10%,0)),0)</f>
        <v>0</v>
      </c>
      <c r="BA8" s="123">
        <f>IF(Data!$C$21="CA",IF(ROUND(O8*10%,0)&gt;1350,1350,ROUND(D8*10%,0)),0)</f>
        <v>0</v>
      </c>
    </row>
    <row r="9" spans="1:53" s="125" customFormat="1" ht="22.5" customHeight="1">
      <c r="A9" s="116">
        <f t="shared" si="14"/>
        <v>44317</v>
      </c>
      <c r="B9" s="151">
        <f t="shared" si="0"/>
        <v>44347</v>
      </c>
      <c r="C9" s="117">
        <f t="shared" si="1"/>
        <v>31</v>
      </c>
      <c r="D9" s="118">
        <f>IF(A9&gt;Data!$C$20,0,ROUND('Form 49 '!$O$10*C9/AQ9,0))</f>
        <v>0</v>
      </c>
      <c r="E9" s="118">
        <f>IF(A9&gt;Data!$C$20,0,ROUND(Data!$C$15*C9/AQ9,0))</f>
        <v>0</v>
      </c>
      <c r="F9" s="118">
        <f>IF(A9&gt;Data!$C$20,0,ROUND(Data!$C$16*C9/AQ9,0))</f>
        <v>0</v>
      </c>
      <c r="G9" s="118">
        <f>IF(A9&gt;Data!$C$20,0,ROUND(Data!$C$17*C9/AQ9,0))</f>
        <v>0</v>
      </c>
      <c r="H9" s="118">
        <f>ROUND(D9*Data!$C$18%,0)</f>
        <v>0</v>
      </c>
      <c r="I9" s="118">
        <f>ROUND(D9*Data!$C$19%,0)</f>
        <v>0</v>
      </c>
      <c r="J9" s="118">
        <f t="shared" si="15"/>
        <v>0</v>
      </c>
      <c r="K9" s="118">
        <f>ROUND(IF(Data!$C$21="Not Applicable",0,AZ9)*C9/AQ9,0)</f>
        <v>0</v>
      </c>
      <c r="L9" s="118">
        <f>IF(A9&gt;Data!$C$20,0,ROUND(Data!$T$106*C9/AQ9,0))</f>
        <v>0</v>
      </c>
      <c r="M9" s="118">
        <f t="shared" si="2"/>
        <v>0</v>
      </c>
      <c r="N9" s="119">
        <f>IF(Data!$C$21="Not Applicable",IF(C9&gt;AQ9/2,Bill!AS9,0),0)</f>
        <v>0</v>
      </c>
      <c r="O9" s="118">
        <f>IF(A9&gt;Data!$C$20,0,ROUND('Form 49 '!$M$10*C9/AQ9,0))</f>
        <v>0</v>
      </c>
      <c r="P9" s="118">
        <f>IF(A9&gt;Data!$C$20,0,ROUND(Data!$C$15*C9/AQ9,0))</f>
        <v>0</v>
      </c>
      <c r="Q9" s="118">
        <f>IF(A9&gt;Data!$C$20,0,ROUND(Data!$C$16*C9/AQ9,0))</f>
        <v>0</v>
      </c>
      <c r="R9" s="118">
        <f>IF(A9&gt;Data!$C$20,0,ROUND(Data!$C$17*C9/AQ9,0))</f>
        <v>0</v>
      </c>
      <c r="S9" s="118">
        <f>ROUND(O9*Data!$C$18%,0)</f>
        <v>0</v>
      </c>
      <c r="T9" s="118">
        <f>ROUND(O9*Data!$C$19%,0)</f>
        <v>0</v>
      </c>
      <c r="U9" s="118">
        <f t="shared" si="16"/>
        <v>0</v>
      </c>
      <c r="V9" s="118">
        <f>ROUND(IF(Data!$C$21="Not Applicable",0,BA9)*C9/AQ9,0)</f>
        <v>0</v>
      </c>
      <c r="W9" s="118">
        <f>IF(L9&gt;Data!$C$20,0,ROUND(Data!$T$106*C9/AQ9,0))</f>
        <v>0</v>
      </c>
      <c r="X9" s="118">
        <f t="shared" si="3"/>
        <v>0</v>
      </c>
      <c r="Y9" s="119">
        <f>IF(Data!$C$21="Not Applicable",IF(C9&gt;AQ9/2,AU9,0),0)</f>
        <v>0</v>
      </c>
      <c r="Z9" s="118">
        <f t="shared" si="4"/>
        <v>0</v>
      </c>
      <c r="AA9" s="118">
        <f t="shared" si="4"/>
        <v>0</v>
      </c>
      <c r="AB9" s="118">
        <f t="shared" si="4"/>
        <v>0</v>
      </c>
      <c r="AC9" s="118">
        <f t="shared" si="4"/>
        <v>0</v>
      </c>
      <c r="AD9" s="118">
        <f t="shared" si="4"/>
        <v>0</v>
      </c>
      <c r="AE9" s="118">
        <f t="shared" si="4"/>
        <v>0</v>
      </c>
      <c r="AF9" s="118">
        <f t="shared" si="4"/>
        <v>0</v>
      </c>
      <c r="AG9" s="118">
        <f t="shared" si="4"/>
        <v>0</v>
      </c>
      <c r="AH9" s="118">
        <f t="shared" si="4"/>
        <v>0</v>
      </c>
      <c r="AI9" s="118">
        <f t="shared" si="4"/>
        <v>0</v>
      </c>
      <c r="AJ9" s="118">
        <v>0</v>
      </c>
      <c r="AK9" s="118">
        <f t="shared" si="17"/>
        <v>0</v>
      </c>
      <c r="AL9" s="120">
        <f>IF(Data!$C$23="CPS",ROUND((Z9+AD9)*10%,0),0)</f>
        <v>0</v>
      </c>
      <c r="AM9" s="118">
        <f t="shared" si="5"/>
        <v>0</v>
      </c>
      <c r="AN9" s="120">
        <f t="shared" si="6"/>
        <v>0</v>
      </c>
      <c r="AO9" s="121"/>
      <c r="AP9" s="122">
        <f t="shared" si="7"/>
        <v>5</v>
      </c>
      <c r="AQ9" s="122">
        <f t="shared" si="8"/>
        <v>31</v>
      </c>
      <c r="AR9" s="139">
        <f t="shared" si="9"/>
        <v>0</v>
      </c>
      <c r="AS9" s="124">
        <f t="shared" si="10"/>
        <v>0</v>
      </c>
      <c r="AT9" s="139">
        <f t="shared" si="11"/>
        <v>0</v>
      </c>
      <c r="AU9" s="124">
        <f t="shared" si="12"/>
        <v>0</v>
      </c>
      <c r="AW9" s="140">
        <f t="shared" si="18"/>
        <v>44317</v>
      </c>
      <c r="AX9" s="140">
        <f t="shared" si="13"/>
        <v>44347</v>
      </c>
      <c r="AZ9" s="123">
        <f>IF(Data!$C$21="CA",IF(ROUND(D9*10%,0)&gt;1350,1350,ROUND(D9*10%,0)),0)</f>
        <v>0</v>
      </c>
      <c r="BA9" s="123">
        <f>IF(Data!$C$21="CA",IF(ROUND(O9*10%,0)&gt;1350,1350,ROUND(D9*10%,0)),0)</f>
        <v>0</v>
      </c>
    </row>
    <row r="10" spans="1:53" s="125" customFormat="1" ht="22.5" customHeight="1">
      <c r="A10" s="116">
        <f t="shared" si="14"/>
        <v>44348</v>
      </c>
      <c r="B10" s="151">
        <f t="shared" si="0"/>
        <v>44377</v>
      </c>
      <c r="C10" s="117">
        <f t="shared" si="1"/>
        <v>30</v>
      </c>
      <c r="D10" s="118">
        <f>IF(A10&gt;Data!$C$20,0,ROUND('Form 49 '!$O$10*C10/AQ10,0))</f>
        <v>0</v>
      </c>
      <c r="E10" s="118">
        <f>IF(A10&gt;Data!$C$20,0,ROUND(Data!$C$15*C10/AQ10,0))</f>
        <v>0</v>
      </c>
      <c r="F10" s="118">
        <f>IF(A10&gt;Data!$C$20,0,ROUND(Data!$C$16*C10/AQ10,0))</f>
        <v>0</v>
      </c>
      <c r="G10" s="118">
        <f>IF(A10&gt;Data!$C$20,0,ROUND(Data!$C$17*C10/AQ10,0))</f>
        <v>0</v>
      </c>
      <c r="H10" s="118">
        <f>ROUND(D10*Data!$C$18%,0)</f>
        <v>0</v>
      </c>
      <c r="I10" s="118">
        <f>ROUND(D10*Data!$C$19%,0)</f>
        <v>0</v>
      </c>
      <c r="J10" s="118">
        <f t="shared" si="15"/>
        <v>0</v>
      </c>
      <c r="K10" s="118">
        <f>ROUND(IF(Data!$C$21="Not Applicable",0,AZ10)*C10/AQ10,0)</f>
        <v>0</v>
      </c>
      <c r="L10" s="118">
        <f>IF(A10&gt;Data!$C$20,0,ROUND(Data!$T$106*C10/AQ10,0))</f>
        <v>0</v>
      </c>
      <c r="M10" s="118">
        <f t="shared" si="2"/>
        <v>0</v>
      </c>
      <c r="N10" s="119">
        <f>IF(Data!$C$21="Not Applicable",IF(C10&gt;AQ10/2,Bill!AS10,0),0)</f>
        <v>0</v>
      </c>
      <c r="O10" s="118">
        <f>IF(A10&gt;Data!$C$20,0,ROUND('Form 49 '!$M$10*C10/AQ10,0))</f>
        <v>0</v>
      </c>
      <c r="P10" s="118">
        <f>IF(A10&gt;Data!$C$20,0,ROUND(Data!$C$15*C10/AQ10,0))</f>
        <v>0</v>
      </c>
      <c r="Q10" s="118">
        <f>IF(A10&gt;Data!$C$20,0,ROUND(Data!$C$16*C10/AQ10,0))</f>
        <v>0</v>
      </c>
      <c r="R10" s="118">
        <f>IF(A10&gt;Data!$C$20,0,ROUND(Data!$C$17*C10/AQ10,0))</f>
        <v>0</v>
      </c>
      <c r="S10" s="118">
        <f>ROUND(O10*Data!$C$18%,0)</f>
        <v>0</v>
      </c>
      <c r="T10" s="118">
        <f>ROUND(O10*Data!$C$19%,0)</f>
        <v>0</v>
      </c>
      <c r="U10" s="118">
        <f t="shared" si="16"/>
        <v>0</v>
      </c>
      <c r="V10" s="118">
        <f>ROUND(IF(Data!$C$21="Not Applicable",0,BA10)*C10/AQ10,0)</f>
        <v>0</v>
      </c>
      <c r="W10" s="118">
        <f>IF(L10&gt;Data!$C$20,0,ROUND(Data!$T$106*C10/AQ10,0))</f>
        <v>0</v>
      </c>
      <c r="X10" s="118">
        <f t="shared" si="3"/>
        <v>0</v>
      </c>
      <c r="Y10" s="119">
        <f>IF(Data!$C$21="Not Applicable",IF(C10&gt;AQ10/2,AU10,0),0)</f>
        <v>0</v>
      </c>
      <c r="Z10" s="118">
        <f t="shared" si="4"/>
        <v>0</v>
      </c>
      <c r="AA10" s="118">
        <f t="shared" si="4"/>
        <v>0</v>
      </c>
      <c r="AB10" s="118">
        <f t="shared" si="4"/>
        <v>0</v>
      </c>
      <c r="AC10" s="118">
        <f t="shared" si="4"/>
        <v>0</v>
      </c>
      <c r="AD10" s="118">
        <f t="shared" si="4"/>
        <v>0</v>
      </c>
      <c r="AE10" s="118">
        <f t="shared" si="4"/>
        <v>0</v>
      </c>
      <c r="AF10" s="118">
        <f t="shared" si="4"/>
        <v>0</v>
      </c>
      <c r="AG10" s="118">
        <f t="shared" si="4"/>
        <v>0</v>
      </c>
      <c r="AH10" s="118">
        <f t="shared" si="4"/>
        <v>0</v>
      </c>
      <c r="AI10" s="118">
        <f t="shared" si="4"/>
        <v>0</v>
      </c>
      <c r="AJ10" s="118">
        <v>0</v>
      </c>
      <c r="AK10" s="118">
        <f t="shared" si="17"/>
        <v>0</v>
      </c>
      <c r="AL10" s="120">
        <f>IF(Data!$C$23="CPS",ROUND((Z10+AD10)*10%,0),0)</f>
        <v>0</v>
      </c>
      <c r="AM10" s="118">
        <f t="shared" si="5"/>
        <v>0</v>
      </c>
      <c r="AN10" s="120">
        <f t="shared" si="6"/>
        <v>0</v>
      </c>
      <c r="AO10" s="121"/>
      <c r="AP10" s="122">
        <f t="shared" si="7"/>
        <v>6</v>
      </c>
      <c r="AQ10" s="122">
        <f t="shared" si="8"/>
        <v>30</v>
      </c>
      <c r="AR10" s="139">
        <f t="shared" si="9"/>
        <v>0</v>
      </c>
      <c r="AS10" s="124">
        <f t="shared" si="10"/>
        <v>0</v>
      </c>
      <c r="AT10" s="139">
        <f t="shared" si="11"/>
        <v>0</v>
      </c>
      <c r="AU10" s="124">
        <f t="shared" si="12"/>
        <v>0</v>
      </c>
      <c r="AW10" s="140">
        <f t="shared" si="18"/>
        <v>44348</v>
      </c>
      <c r="AX10" s="140">
        <f t="shared" si="13"/>
        <v>44377</v>
      </c>
      <c r="AZ10" s="123">
        <f>IF(Data!$C$21="CA",IF(ROUND(D10*10%,0)&gt;1350,1350,ROUND(D10*10%,0)),0)</f>
        <v>0</v>
      </c>
      <c r="BA10" s="123">
        <f>IF(Data!$C$21="CA",IF(ROUND(O10*10%,0)&gt;1350,1350,ROUND(D10*10%,0)),0)</f>
        <v>0</v>
      </c>
    </row>
    <row r="11" spans="1:53" s="125" customFormat="1" ht="22.5" customHeight="1">
      <c r="A11" s="116">
        <f t="shared" si="14"/>
        <v>44378</v>
      </c>
      <c r="B11" s="151">
        <f t="shared" si="0"/>
        <v>44408</v>
      </c>
      <c r="C11" s="117">
        <f t="shared" si="1"/>
        <v>31</v>
      </c>
      <c r="D11" s="118">
        <f>IF(A11&gt;Data!$C$20,0,ROUND('Form 49 '!$O$10*C11/AQ11,0))</f>
        <v>0</v>
      </c>
      <c r="E11" s="118">
        <f>IF(A11&gt;Data!$C$20,0,ROUND(Data!$C$15*C11/AQ11,0))</f>
        <v>0</v>
      </c>
      <c r="F11" s="118">
        <f>IF(A11&gt;Data!$C$20,0,ROUND(Data!$C$16*C11/AQ11,0))</f>
        <v>0</v>
      </c>
      <c r="G11" s="118">
        <f>IF(A11&gt;Data!$C$20,0,ROUND(Data!$C$17*C11/AQ11,0))</f>
        <v>0</v>
      </c>
      <c r="H11" s="118">
        <f>ROUND(D11*Data!$C$18%,0)</f>
        <v>0</v>
      </c>
      <c r="I11" s="118">
        <f>ROUND(D11*Data!$C$19%,0)</f>
        <v>0</v>
      </c>
      <c r="J11" s="118">
        <f t="shared" si="15"/>
        <v>0</v>
      </c>
      <c r="K11" s="118">
        <f>ROUND(IF(Data!$C$21="Not Applicable",0,AZ11)*C11/AQ11,0)</f>
        <v>0</v>
      </c>
      <c r="L11" s="118">
        <f>IF(A11&gt;Data!$C$20,0,ROUND(Data!$T$106*C11/AQ11,0))</f>
        <v>0</v>
      </c>
      <c r="M11" s="118">
        <f t="shared" si="2"/>
        <v>0</v>
      </c>
      <c r="N11" s="119">
        <f>IF(Data!$C$21="Not Applicable",IF(C11&gt;AQ11/2,Bill!AS11,0),0)</f>
        <v>0</v>
      </c>
      <c r="O11" s="118">
        <f>IF(A11&gt;Data!$C$20,0,ROUND('Form 49 '!$M$10*C11/AQ11,0))</f>
        <v>0</v>
      </c>
      <c r="P11" s="118">
        <f>IF(A11&gt;Data!$C$20,0,ROUND(Data!$C$15*C11/AQ11,0))</f>
        <v>0</v>
      </c>
      <c r="Q11" s="118">
        <f>IF(A11&gt;Data!$C$20,0,ROUND(Data!$C$16*C11/AQ11,0))</f>
        <v>0</v>
      </c>
      <c r="R11" s="118">
        <f>IF(A11&gt;Data!$C$20,0,ROUND(Data!$C$17*C11/AQ11,0))</f>
        <v>0</v>
      </c>
      <c r="S11" s="118">
        <f>ROUND(O11*Data!$C$18%,0)</f>
        <v>0</v>
      </c>
      <c r="T11" s="118">
        <f>ROUND(O11*Data!$C$19%,0)</f>
        <v>0</v>
      </c>
      <c r="U11" s="118">
        <f t="shared" si="16"/>
        <v>0</v>
      </c>
      <c r="V11" s="118">
        <f>ROUND(IF(Data!$C$21="Not Applicable",0,BA11)*C11/AQ11,0)</f>
        <v>0</v>
      </c>
      <c r="W11" s="118">
        <f>IF(L11&gt;Data!$C$20,0,ROUND(Data!$T$106*C11/AQ11,0))</f>
        <v>0</v>
      </c>
      <c r="X11" s="118">
        <f t="shared" si="3"/>
        <v>0</v>
      </c>
      <c r="Y11" s="119">
        <f>IF(Data!$C$21="Not Applicable",IF(C11&gt;AQ11/2,AU11,0),0)</f>
        <v>0</v>
      </c>
      <c r="Z11" s="118">
        <f t="shared" si="4"/>
        <v>0</v>
      </c>
      <c r="AA11" s="118">
        <f t="shared" si="4"/>
        <v>0</v>
      </c>
      <c r="AB11" s="118">
        <f t="shared" si="4"/>
        <v>0</v>
      </c>
      <c r="AC11" s="118">
        <f t="shared" si="4"/>
        <v>0</v>
      </c>
      <c r="AD11" s="118">
        <f t="shared" si="4"/>
        <v>0</v>
      </c>
      <c r="AE11" s="118">
        <f t="shared" si="4"/>
        <v>0</v>
      </c>
      <c r="AF11" s="118">
        <f t="shared" si="4"/>
        <v>0</v>
      </c>
      <c r="AG11" s="118">
        <f t="shared" si="4"/>
        <v>0</v>
      </c>
      <c r="AH11" s="118">
        <f t="shared" si="4"/>
        <v>0</v>
      </c>
      <c r="AI11" s="118">
        <f t="shared" si="4"/>
        <v>0</v>
      </c>
      <c r="AJ11" s="118">
        <v>0</v>
      </c>
      <c r="AK11" s="118">
        <f t="shared" si="17"/>
        <v>0</v>
      </c>
      <c r="AL11" s="120">
        <f>IF(Data!$C$23="CPS",ROUND((Z11+AD11)*10%,0),0)</f>
        <v>0</v>
      </c>
      <c r="AM11" s="118">
        <f t="shared" si="5"/>
        <v>0</v>
      </c>
      <c r="AN11" s="120">
        <f t="shared" si="6"/>
        <v>0</v>
      </c>
      <c r="AO11" s="121"/>
      <c r="AP11" s="122">
        <f t="shared" si="7"/>
        <v>7</v>
      </c>
      <c r="AQ11" s="122">
        <f t="shared" si="8"/>
        <v>31</v>
      </c>
      <c r="AR11" s="139">
        <f t="shared" si="9"/>
        <v>0</v>
      </c>
      <c r="AS11" s="124">
        <f t="shared" si="10"/>
        <v>0</v>
      </c>
      <c r="AT11" s="139">
        <f t="shared" si="11"/>
        <v>0</v>
      </c>
      <c r="AU11" s="124">
        <f t="shared" si="12"/>
        <v>0</v>
      </c>
      <c r="AW11" s="140">
        <f t="shared" si="18"/>
        <v>44378</v>
      </c>
      <c r="AX11" s="140">
        <f t="shared" si="13"/>
        <v>44408</v>
      </c>
      <c r="AZ11" s="123">
        <f>IF(Data!$C$21="CA",IF(ROUND(D11*10%,0)&gt;1350,1350,ROUND(D11*10%,0)),0)</f>
        <v>0</v>
      </c>
      <c r="BA11" s="123">
        <f>IF(Data!$C$21="CA",IF(ROUND(O11*10%,0)&gt;1350,1350,ROUND(D11*10%,0)),0)</f>
        <v>0</v>
      </c>
    </row>
    <row r="12" spans="1:53" s="125" customFormat="1" ht="22.5" customHeight="1">
      <c r="A12" s="116">
        <f t="shared" si="14"/>
        <v>44409</v>
      </c>
      <c r="B12" s="151">
        <f t="shared" si="0"/>
        <v>44439</v>
      </c>
      <c r="C12" s="117">
        <f aca="true" t="shared" si="19" ref="C12:C17">(B12-A12)+1</f>
        <v>31</v>
      </c>
      <c r="D12" s="118">
        <f>IF(A12&gt;Data!$C$20,0,ROUND('Form 49 '!$O$10*C12/AQ12,0))</f>
        <v>0</v>
      </c>
      <c r="E12" s="118">
        <f>IF(A12&gt;Data!$C$20,0,ROUND(Data!$C$15*C12/AQ12,0))</f>
        <v>0</v>
      </c>
      <c r="F12" s="118">
        <f>IF(A12&gt;Data!$C$20,0,ROUND(Data!$C$16*C12/AQ12,0))</f>
        <v>0</v>
      </c>
      <c r="G12" s="118">
        <f>IF(A12&gt;Data!$C$20,0,ROUND(Data!$C$17*C12/AQ12,0))</f>
        <v>0</v>
      </c>
      <c r="H12" s="118">
        <f>ROUND(D12*Data!$C$18%,0)</f>
        <v>0</v>
      </c>
      <c r="I12" s="118">
        <f>ROUND(D12*Data!$C$19%,0)</f>
        <v>0</v>
      </c>
      <c r="J12" s="118">
        <f t="shared" si="15"/>
        <v>0</v>
      </c>
      <c r="K12" s="118">
        <f>ROUND(IF(Data!$C$21="Not Applicable",0,AZ12)*C12/AQ12,0)</f>
        <v>0</v>
      </c>
      <c r="L12" s="118">
        <f>IF(A12&gt;Data!$C$20,0,ROUND(Data!$T$106*C12/AQ12,0))</f>
        <v>0</v>
      </c>
      <c r="M12" s="118">
        <f t="shared" si="2"/>
        <v>0</v>
      </c>
      <c r="N12" s="119">
        <f>IF(Data!$C$21="Not Applicable",IF(C12&gt;AQ12/2,Bill!AS12,0),0)</f>
        <v>0</v>
      </c>
      <c r="O12" s="118">
        <f>IF(A12&gt;Data!$C$20,0,ROUND('Form 49 '!$M$10*C12/AQ12,0))</f>
        <v>0</v>
      </c>
      <c r="P12" s="118">
        <f>IF(A12&gt;Data!$C$20,0,ROUND(Data!$C$15*C12/AQ12,0))</f>
        <v>0</v>
      </c>
      <c r="Q12" s="118">
        <f>IF(A12&gt;Data!$C$20,0,ROUND(Data!$C$16*C12/AQ12,0))</f>
        <v>0</v>
      </c>
      <c r="R12" s="118">
        <f>IF(A12&gt;Data!$C$20,0,ROUND(Data!$C$17*C12/AQ12,0))</f>
        <v>0</v>
      </c>
      <c r="S12" s="118">
        <f>ROUND(O12*Data!$C$18%,0)</f>
        <v>0</v>
      </c>
      <c r="T12" s="118">
        <f>ROUND(O12*Data!$C$19%,0)</f>
        <v>0</v>
      </c>
      <c r="U12" s="118">
        <f t="shared" si="16"/>
        <v>0</v>
      </c>
      <c r="V12" s="118">
        <f>ROUND(IF(Data!$C$21="Not Applicable",0,BA12)*C12/AQ12,0)</f>
        <v>0</v>
      </c>
      <c r="W12" s="118">
        <f>IF(L12&gt;Data!$C$20,0,ROUND(Data!$T$106*C12/AQ12,0))</f>
        <v>0</v>
      </c>
      <c r="X12" s="118">
        <f aca="true" t="shared" si="20" ref="X12:X17">SUM(O12:W12)</f>
        <v>0</v>
      </c>
      <c r="Y12" s="119">
        <f>IF(Data!$C$21="Not Applicable",IF(C12&gt;AQ12/2,AU12,0),0)</f>
        <v>0</v>
      </c>
      <c r="Z12" s="118">
        <f t="shared" si="4"/>
        <v>0</v>
      </c>
      <c r="AA12" s="118">
        <f t="shared" si="4"/>
        <v>0</v>
      </c>
      <c r="AB12" s="118">
        <f t="shared" si="4"/>
        <v>0</v>
      </c>
      <c r="AC12" s="118">
        <f t="shared" si="4"/>
        <v>0</v>
      </c>
      <c r="AD12" s="118">
        <f t="shared" si="4"/>
        <v>0</v>
      </c>
      <c r="AE12" s="118">
        <f t="shared" si="4"/>
        <v>0</v>
      </c>
      <c r="AF12" s="118">
        <f t="shared" si="4"/>
        <v>0</v>
      </c>
      <c r="AG12" s="118">
        <f t="shared" si="4"/>
        <v>0</v>
      </c>
      <c r="AH12" s="118">
        <f t="shared" si="4"/>
        <v>0</v>
      </c>
      <c r="AI12" s="118">
        <f t="shared" si="4"/>
        <v>0</v>
      </c>
      <c r="AJ12" s="118">
        <v>0</v>
      </c>
      <c r="AK12" s="118">
        <f t="shared" si="17"/>
        <v>0</v>
      </c>
      <c r="AL12" s="120">
        <f>IF(Data!$C$23="CPS",ROUND((Z12+AD12)*10%,0),0)</f>
        <v>0</v>
      </c>
      <c r="AM12" s="118">
        <f t="shared" si="5"/>
        <v>0</v>
      </c>
      <c r="AN12" s="120">
        <f t="shared" si="6"/>
        <v>0</v>
      </c>
      <c r="AO12" s="121"/>
      <c r="AP12" s="122">
        <f t="shared" si="7"/>
        <v>8</v>
      </c>
      <c r="AQ12" s="122">
        <f t="shared" si="8"/>
        <v>31</v>
      </c>
      <c r="AR12" s="139">
        <f t="shared" si="9"/>
        <v>0</v>
      </c>
      <c r="AS12" s="124">
        <f t="shared" si="10"/>
        <v>0</v>
      </c>
      <c r="AT12" s="139">
        <f t="shared" si="11"/>
        <v>0</v>
      </c>
      <c r="AU12" s="124">
        <f t="shared" si="12"/>
        <v>0</v>
      </c>
      <c r="AW12" s="140">
        <f t="shared" si="18"/>
        <v>44409</v>
      </c>
      <c r="AX12" s="140">
        <f t="shared" si="13"/>
        <v>44439</v>
      </c>
      <c r="AZ12" s="123">
        <f>IF(Data!$C$21="CA",IF(ROUND(D12*10%,0)&gt;1350,1350,ROUND(D12*10%,0)),0)</f>
        <v>0</v>
      </c>
      <c r="BA12" s="123">
        <f>IF(Data!$C$21="CA",IF(ROUND(O12*10%,0)&gt;1350,1350,ROUND(D12*10%,0)),0)</f>
        <v>0</v>
      </c>
    </row>
    <row r="13" spans="1:53" s="125" customFormat="1" ht="22.5" customHeight="1">
      <c r="A13" s="116">
        <f t="shared" si="14"/>
        <v>44440</v>
      </c>
      <c r="B13" s="151">
        <f t="shared" si="0"/>
        <v>44469</v>
      </c>
      <c r="C13" s="117">
        <f t="shared" si="19"/>
        <v>30</v>
      </c>
      <c r="D13" s="118">
        <f>IF(A13&gt;Data!$C$20,0,ROUND('Form 49 '!$O$10*C13/AQ13,0))</f>
        <v>0</v>
      </c>
      <c r="E13" s="118">
        <f>IF(A13&gt;Data!$C$20,0,ROUND(Data!$C$15*C13/AQ13,0))</f>
        <v>0</v>
      </c>
      <c r="F13" s="118">
        <f>IF(A13&gt;Data!$C$20,0,ROUND(Data!$C$16*C13/AQ13,0))</f>
        <v>0</v>
      </c>
      <c r="G13" s="118">
        <f>IF(A13&gt;Data!$C$20,0,ROUND(Data!$C$17*C13/AQ13,0))</f>
        <v>0</v>
      </c>
      <c r="H13" s="118">
        <f>ROUND(D13*Data!$C$18%,0)</f>
        <v>0</v>
      </c>
      <c r="I13" s="118">
        <f>ROUND(D13*Data!$C$19%,0)</f>
        <v>0</v>
      </c>
      <c r="J13" s="118">
        <f t="shared" si="15"/>
        <v>0</v>
      </c>
      <c r="K13" s="118">
        <f>ROUND(IF(Data!$C$21="Not Applicable",0,AZ13)*C13/AQ13,0)</f>
        <v>0</v>
      </c>
      <c r="L13" s="118">
        <f>IF(A13&gt;Data!$C$20,0,ROUND(Data!$T$106*C13/AQ13,0))</f>
        <v>0</v>
      </c>
      <c r="M13" s="118">
        <f t="shared" si="2"/>
        <v>0</v>
      </c>
      <c r="N13" s="119">
        <f>IF(Data!$C$21="Not Applicable",IF(C13&gt;AQ13/2,Bill!AS13,0),0)</f>
        <v>0</v>
      </c>
      <c r="O13" s="118">
        <f>IF(A13&gt;Data!$C$20,0,ROUND('Form 49 '!$M$10*C13/AQ13,0))</f>
        <v>0</v>
      </c>
      <c r="P13" s="118">
        <f>IF(A13&gt;Data!$C$20,0,ROUND(Data!$C$15*C13/AQ13,0))</f>
        <v>0</v>
      </c>
      <c r="Q13" s="118">
        <f>IF(A13&gt;Data!$C$20,0,ROUND(Data!$C$16*C13/AQ13,0))</f>
        <v>0</v>
      </c>
      <c r="R13" s="118">
        <f>IF(A13&gt;Data!$C$20,0,ROUND(Data!$C$17*C13/AQ13,0))</f>
        <v>0</v>
      </c>
      <c r="S13" s="118">
        <f>ROUND(O13*Data!$C$18%,0)</f>
        <v>0</v>
      </c>
      <c r="T13" s="118">
        <f>ROUND(O13*Data!$C$19%,0)</f>
        <v>0</v>
      </c>
      <c r="U13" s="118">
        <f t="shared" si="16"/>
        <v>0</v>
      </c>
      <c r="V13" s="118">
        <f>ROUND(IF(Data!$C$21="Not Applicable",0,BA13)*C13/AQ13,0)</f>
        <v>0</v>
      </c>
      <c r="W13" s="118">
        <f>IF(L13&gt;Data!$C$20,0,ROUND(Data!$T$106*C13/AQ13,0))</f>
        <v>0</v>
      </c>
      <c r="X13" s="118">
        <f t="shared" si="20"/>
        <v>0</v>
      </c>
      <c r="Y13" s="119">
        <f>IF(Data!$C$21="Not Applicable",IF(C13&gt;AQ13/2,AU13,0),0)</f>
        <v>0</v>
      </c>
      <c r="Z13" s="118">
        <f t="shared" si="4"/>
        <v>0</v>
      </c>
      <c r="AA13" s="118">
        <f t="shared" si="4"/>
        <v>0</v>
      </c>
      <c r="AB13" s="118">
        <f t="shared" si="4"/>
        <v>0</v>
      </c>
      <c r="AC13" s="118">
        <f t="shared" si="4"/>
        <v>0</v>
      </c>
      <c r="AD13" s="118">
        <f t="shared" si="4"/>
        <v>0</v>
      </c>
      <c r="AE13" s="118">
        <f t="shared" si="4"/>
        <v>0</v>
      </c>
      <c r="AF13" s="118">
        <f t="shared" si="4"/>
        <v>0</v>
      </c>
      <c r="AG13" s="118">
        <f t="shared" si="4"/>
        <v>0</v>
      </c>
      <c r="AH13" s="118">
        <f t="shared" si="4"/>
        <v>0</v>
      </c>
      <c r="AI13" s="118">
        <f t="shared" si="4"/>
        <v>0</v>
      </c>
      <c r="AJ13" s="118">
        <v>0</v>
      </c>
      <c r="AK13" s="118">
        <f t="shared" si="17"/>
        <v>0</v>
      </c>
      <c r="AL13" s="120">
        <f>IF(Data!$C$23="CPS",ROUND((Z13+AD13)*10%,0),0)</f>
        <v>0</v>
      </c>
      <c r="AM13" s="118">
        <f t="shared" si="5"/>
        <v>0</v>
      </c>
      <c r="AN13" s="120">
        <f t="shared" si="6"/>
        <v>0</v>
      </c>
      <c r="AO13" s="121"/>
      <c r="AP13" s="122">
        <f t="shared" si="7"/>
        <v>9</v>
      </c>
      <c r="AQ13" s="122">
        <f t="shared" si="8"/>
        <v>30</v>
      </c>
      <c r="AR13" s="139">
        <f t="shared" si="9"/>
        <v>0</v>
      </c>
      <c r="AS13" s="124">
        <f t="shared" si="10"/>
        <v>0</v>
      </c>
      <c r="AT13" s="139">
        <f t="shared" si="11"/>
        <v>0</v>
      </c>
      <c r="AU13" s="124">
        <f t="shared" si="12"/>
        <v>0</v>
      </c>
      <c r="AW13" s="140">
        <f t="shared" si="18"/>
        <v>44440</v>
      </c>
      <c r="AX13" s="140">
        <f t="shared" si="13"/>
        <v>44469</v>
      </c>
      <c r="AZ13" s="123">
        <f>IF(Data!$C$21="CA",IF(ROUND(D13*10%,0)&gt;1350,1350,ROUND(D13*10%,0)),0)</f>
        <v>0</v>
      </c>
      <c r="BA13" s="123">
        <f>IF(Data!$C$21="CA",IF(ROUND(O13*10%,0)&gt;1350,1350,ROUND(D13*10%,0)),0)</f>
        <v>0</v>
      </c>
    </row>
    <row r="14" spans="1:53" s="125" customFormat="1" ht="22.5" customHeight="1">
      <c r="A14" s="116">
        <f t="shared" si="14"/>
        <v>44470</v>
      </c>
      <c r="B14" s="151">
        <f t="shared" si="0"/>
        <v>44500</v>
      </c>
      <c r="C14" s="117">
        <f t="shared" si="19"/>
        <v>31</v>
      </c>
      <c r="D14" s="118">
        <f>IF(A14&gt;Data!$C$20,0,ROUND('Form 49 '!$O$10*C14/AQ14,0))</f>
        <v>0</v>
      </c>
      <c r="E14" s="118">
        <f>IF(A14&gt;Data!$C$20,0,ROUND(Data!$C$15*C14/AQ14,0))</f>
        <v>0</v>
      </c>
      <c r="F14" s="118">
        <f>IF(A14&gt;Data!$C$20,0,ROUND(Data!$C$16*C14/AQ14,0))</f>
        <v>0</v>
      </c>
      <c r="G14" s="118">
        <f>IF(A14&gt;Data!$C$20,0,ROUND(Data!$C$17*C14/AQ14,0))</f>
        <v>0</v>
      </c>
      <c r="H14" s="118">
        <f>ROUND(D14*Data!$C$18%,0)</f>
        <v>0</v>
      </c>
      <c r="I14" s="118">
        <f>ROUND(D14*Data!$C$19%,0)</f>
        <v>0</v>
      </c>
      <c r="J14" s="118">
        <f t="shared" si="15"/>
        <v>0</v>
      </c>
      <c r="K14" s="118">
        <f>ROUND(IF(Data!$C$21="Not Applicable",0,AZ14)*C14/AQ14,0)</f>
        <v>0</v>
      </c>
      <c r="L14" s="118">
        <f>IF(A14&gt;Data!$C$20,0,ROUND(Data!$T$106*C14/AQ14,0))</f>
        <v>0</v>
      </c>
      <c r="M14" s="118">
        <f t="shared" si="2"/>
        <v>0</v>
      </c>
      <c r="N14" s="119">
        <f>IF(Data!$C$21="Not Applicable",IF(C14&gt;AQ14/2,Bill!AS14,0),0)</f>
        <v>0</v>
      </c>
      <c r="O14" s="118">
        <f>IF(A14&gt;Data!$C$20,0,ROUND('Form 49 '!$M$10*C14/AQ14,0))</f>
        <v>0</v>
      </c>
      <c r="P14" s="118">
        <f>IF(A14&gt;Data!$C$20,0,ROUND(Data!$C$15*C14/AQ14,0))</f>
        <v>0</v>
      </c>
      <c r="Q14" s="118">
        <f>IF(A14&gt;Data!$C$20,0,ROUND(Data!$C$16*C14/AQ14,0))</f>
        <v>0</v>
      </c>
      <c r="R14" s="118">
        <f>IF(A14&gt;Data!$C$20,0,ROUND(Data!$C$17*C14/AQ14,0))</f>
        <v>0</v>
      </c>
      <c r="S14" s="118">
        <f>ROUND(O14*Data!$C$18%,0)</f>
        <v>0</v>
      </c>
      <c r="T14" s="118">
        <f>ROUND(O14*Data!$C$19%,0)</f>
        <v>0</v>
      </c>
      <c r="U14" s="118">
        <f t="shared" si="16"/>
        <v>0</v>
      </c>
      <c r="V14" s="118">
        <f>ROUND(IF(Data!$C$21="Not Applicable",0,BA14)*C14/AQ14,0)</f>
        <v>0</v>
      </c>
      <c r="W14" s="118">
        <f>IF(L14&gt;Data!$C$20,0,ROUND(Data!$T$106*C14/AQ14,0))</f>
        <v>0</v>
      </c>
      <c r="X14" s="118">
        <f t="shared" si="20"/>
        <v>0</v>
      </c>
      <c r="Y14" s="119">
        <f>IF(Data!$C$21="Not Applicable",IF(C14&gt;AQ14/2,AU14,0),0)</f>
        <v>0</v>
      </c>
      <c r="Z14" s="118">
        <f t="shared" si="4"/>
        <v>0</v>
      </c>
      <c r="AA14" s="118">
        <f t="shared" si="4"/>
        <v>0</v>
      </c>
      <c r="AB14" s="118">
        <f t="shared" si="4"/>
        <v>0</v>
      </c>
      <c r="AC14" s="118">
        <f t="shared" si="4"/>
        <v>0</v>
      </c>
      <c r="AD14" s="118">
        <f t="shared" si="4"/>
        <v>0</v>
      </c>
      <c r="AE14" s="118">
        <f t="shared" si="4"/>
        <v>0</v>
      </c>
      <c r="AF14" s="118">
        <f t="shared" si="4"/>
        <v>0</v>
      </c>
      <c r="AG14" s="118">
        <f t="shared" si="4"/>
        <v>0</v>
      </c>
      <c r="AH14" s="118">
        <f t="shared" si="4"/>
        <v>0</v>
      </c>
      <c r="AI14" s="118">
        <f t="shared" si="4"/>
        <v>0</v>
      </c>
      <c r="AJ14" s="118">
        <v>0</v>
      </c>
      <c r="AK14" s="118">
        <f t="shared" si="17"/>
        <v>0</v>
      </c>
      <c r="AL14" s="120">
        <f>IF(Data!$C$23="CPS",ROUND((Z14+AD14)*10%,0),0)</f>
        <v>0</v>
      </c>
      <c r="AM14" s="118">
        <f t="shared" si="5"/>
        <v>0</v>
      </c>
      <c r="AN14" s="120">
        <f t="shared" si="6"/>
        <v>0</v>
      </c>
      <c r="AO14" s="121"/>
      <c r="AP14" s="122">
        <f t="shared" si="7"/>
        <v>10</v>
      </c>
      <c r="AQ14" s="122">
        <f t="shared" si="8"/>
        <v>31</v>
      </c>
      <c r="AR14" s="139">
        <f t="shared" si="9"/>
        <v>0</v>
      </c>
      <c r="AS14" s="124">
        <f t="shared" si="10"/>
        <v>0</v>
      </c>
      <c r="AT14" s="139">
        <f t="shared" si="11"/>
        <v>0</v>
      </c>
      <c r="AU14" s="124">
        <f t="shared" si="12"/>
        <v>0</v>
      </c>
      <c r="AW14" s="140">
        <f t="shared" si="18"/>
        <v>44470</v>
      </c>
      <c r="AX14" s="140">
        <f t="shared" si="13"/>
        <v>44500</v>
      </c>
      <c r="AZ14" s="123">
        <f>IF(Data!$C$21="CA",IF(ROUND(D14*10%,0)&gt;1350,1350,ROUND(D14*10%,0)),0)</f>
        <v>0</v>
      </c>
      <c r="BA14" s="123">
        <f>IF(Data!$C$21="CA",IF(ROUND(O14*10%,0)&gt;1350,1350,ROUND(D14*10%,0)),0)</f>
        <v>0</v>
      </c>
    </row>
    <row r="15" spans="1:53" s="125" customFormat="1" ht="22.5" customHeight="1">
      <c r="A15" s="116">
        <f t="shared" si="14"/>
        <v>44501</v>
      </c>
      <c r="B15" s="151">
        <f t="shared" si="0"/>
        <v>44530</v>
      </c>
      <c r="C15" s="117">
        <f t="shared" si="19"/>
        <v>30</v>
      </c>
      <c r="D15" s="118">
        <f>IF(A15&gt;Data!$C$20,0,ROUND('Form 49 '!$O$10*C15/AQ15,0))</f>
        <v>0</v>
      </c>
      <c r="E15" s="118">
        <f>IF(A15&gt;Data!$C$20,0,ROUND(Data!$C$15*C15/AQ15,0))</f>
        <v>0</v>
      </c>
      <c r="F15" s="118">
        <f>IF(A15&gt;Data!$C$20,0,ROUND(Data!$C$16*C15/AQ15,0))</f>
        <v>0</v>
      </c>
      <c r="G15" s="118">
        <f>IF(A15&gt;Data!$C$20,0,ROUND(Data!$C$17*C15/AQ15,0))</f>
        <v>0</v>
      </c>
      <c r="H15" s="118">
        <f>ROUND(D15*Data!$C$18%,0)</f>
        <v>0</v>
      </c>
      <c r="I15" s="118">
        <f>ROUND(D15*Data!$C$19%,0)</f>
        <v>0</v>
      </c>
      <c r="J15" s="118">
        <f t="shared" si="15"/>
        <v>0</v>
      </c>
      <c r="K15" s="118">
        <f>ROUND(IF(Data!$C$21="Not Applicable",0,AZ15)*C15/AQ15,0)</f>
        <v>0</v>
      </c>
      <c r="L15" s="118">
        <f>IF(A15&gt;Data!$C$20,0,ROUND(Data!$T$106*C15/AQ15,0))</f>
        <v>0</v>
      </c>
      <c r="M15" s="118">
        <f t="shared" si="2"/>
        <v>0</v>
      </c>
      <c r="N15" s="119">
        <f>IF(Data!$C$21="Not Applicable",IF(C15&gt;AQ15/2,Bill!AS15,0),0)</f>
        <v>0</v>
      </c>
      <c r="O15" s="118">
        <f>IF(A15&gt;Data!$C$20,0,ROUND('Form 49 '!$M$10*C15/AQ15,0))</f>
        <v>0</v>
      </c>
      <c r="P15" s="118">
        <f>IF(A15&gt;Data!$C$20,0,ROUND(Data!$C$15*C15/AQ15,0))</f>
        <v>0</v>
      </c>
      <c r="Q15" s="118">
        <f>IF(A15&gt;Data!$C$20,0,ROUND(Data!$C$16*C15/AQ15,0))</f>
        <v>0</v>
      </c>
      <c r="R15" s="118">
        <f>IF(A15&gt;Data!$C$20,0,ROUND(Data!$C$17*C15/AQ15,0))</f>
        <v>0</v>
      </c>
      <c r="S15" s="118">
        <f>ROUND(O15*Data!$C$18%,0)</f>
        <v>0</v>
      </c>
      <c r="T15" s="118">
        <f>ROUND(O15*Data!$C$19%,0)</f>
        <v>0</v>
      </c>
      <c r="U15" s="118">
        <f t="shared" si="16"/>
        <v>0</v>
      </c>
      <c r="V15" s="118">
        <f>ROUND(IF(Data!$C$21="Not Applicable",0,BA15)*C15/AQ15,0)</f>
        <v>0</v>
      </c>
      <c r="W15" s="118">
        <f>IF(L15&gt;Data!$C$20,0,ROUND(Data!$T$106*C15/AQ15,0))</f>
        <v>0</v>
      </c>
      <c r="X15" s="118">
        <f t="shared" si="20"/>
        <v>0</v>
      </c>
      <c r="Y15" s="119">
        <f>IF(Data!$C$21="Not Applicable",IF(C15&gt;AQ15/2,AU15,0),0)</f>
        <v>0</v>
      </c>
      <c r="Z15" s="118">
        <f t="shared" si="4"/>
        <v>0</v>
      </c>
      <c r="AA15" s="118">
        <f t="shared" si="4"/>
        <v>0</v>
      </c>
      <c r="AB15" s="118">
        <f t="shared" si="4"/>
        <v>0</v>
      </c>
      <c r="AC15" s="118">
        <f t="shared" si="4"/>
        <v>0</v>
      </c>
      <c r="AD15" s="118">
        <f t="shared" si="4"/>
        <v>0</v>
      </c>
      <c r="AE15" s="118">
        <f t="shared" si="4"/>
        <v>0</v>
      </c>
      <c r="AF15" s="118">
        <f t="shared" si="4"/>
        <v>0</v>
      </c>
      <c r="AG15" s="118">
        <f t="shared" si="4"/>
        <v>0</v>
      </c>
      <c r="AH15" s="118">
        <f t="shared" si="4"/>
        <v>0</v>
      </c>
      <c r="AI15" s="118">
        <f t="shared" si="4"/>
        <v>0</v>
      </c>
      <c r="AJ15" s="118">
        <v>0</v>
      </c>
      <c r="AK15" s="118">
        <f t="shared" si="17"/>
        <v>0</v>
      </c>
      <c r="AL15" s="120">
        <f>IF(Data!$C$23="CPS",ROUND((Z15+AD15)*10%,0),0)</f>
        <v>0</v>
      </c>
      <c r="AM15" s="118">
        <f t="shared" si="5"/>
        <v>0</v>
      </c>
      <c r="AN15" s="120">
        <f t="shared" si="6"/>
        <v>0</v>
      </c>
      <c r="AO15" s="121"/>
      <c r="AP15" s="122">
        <f t="shared" si="7"/>
        <v>11</v>
      </c>
      <c r="AQ15" s="122">
        <f t="shared" si="8"/>
        <v>30</v>
      </c>
      <c r="AR15" s="139">
        <f t="shared" si="9"/>
        <v>0</v>
      </c>
      <c r="AS15" s="124">
        <f t="shared" si="10"/>
        <v>0</v>
      </c>
      <c r="AT15" s="139">
        <f t="shared" si="11"/>
        <v>0</v>
      </c>
      <c r="AU15" s="124">
        <f t="shared" si="12"/>
        <v>0</v>
      </c>
      <c r="AW15" s="140">
        <f t="shared" si="18"/>
        <v>44501</v>
      </c>
      <c r="AX15" s="140">
        <f t="shared" si="13"/>
        <v>44530</v>
      </c>
      <c r="AZ15" s="123">
        <f>IF(Data!$C$21="CA",IF(ROUND(D15*10%,0)&gt;1350,1350,ROUND(D15*10%,0)),0)</f>
        <v>0</v>
      </c>
      <c r="BA15" s="123">
        <f>IF(Data!$C$21="CA",IF(ROUND(O15*10%,0)&gt;1350,1350,ROUND(D15*10%,0)),0)</f>
        <v>0</v>
      </c>
    </row>
    <row r="16" spans="1:53" s="125" customFormat="1" ht="22.5" customHeight="1">
      <c r="A16" s="116">
        <f t="shared" si="14"/>
        <v>44531</v>
      </c>
      <c r="B16" s="151">
        <f t="shared" si="0"/>
        <v>44561</v>
      </c>
      <c r="C16" s="117">
        <f t="shared" si="19"/>
        <v>31</v>
      </c>
      <c r="D16" s="118">
        <f>IF(A16&gt;Data!$C$20,0,ROUND('Form 49 '!$O$10*C16/AQ16,0))</f>
        <v>0</v>
      </c>
      <c r="E16" s="118">
        <f>IF(A16&gt;Data!$C$20,0,ROUND(Data!$C$15*C16/AQ16,0))</f>
        <v>0</v>
      </c>
      <c r="F16" s="118">
        <f>IF(A16&gt;Data!$C$20,0,ROUND(Data!$C$16*C16/AQ16,0))</f>
        <v>0</v>
      </c>
      <c r="G16" s="118">
        <f>IF(A16&gt;Data!$C$20,0,ROUND(Data!$C$17*C16/AQ16,0))</f>
        <v>0</v>
      </c>
      <c r="H16" s="118">
        <f>ROUND(D16*Data!$C$18%,0)</f>
        <v>0</v>
      </c>
      <c r="I16" s="118">
        <f>ROUND(D16*Data!$C$19%,0)</f>
        <v>0</v>
      </c>
      <c r="J16" s="118">
        <f t="shared" si="15"/>
        <v>0</v>
      </c>
      <c r="K16" s="118">
        <f>ROUND(IF(Data!$C$21="Not Applicable",0,AZ16)*C16/AQ16,0)</f>
        <v>0</v>
      </c>
      <c r="L16" s="118">
        <f>IF(A16&gt;Data!$C$20,0,ROUND(Data!$T$106*C16/AQ16,0))</f>
        <v>0</v>
      </c>
      <c r="M16" s="118">
        <f t="shared" si="2"/>
        <v>0</v>
      </c>
      <c r="N16" s="119">
        <f>IF(Data!$C$21="Not Applicable",IF(C16&gt;AQ16/2,Bill!AS16,0),0)</f>
        <v>0</v>
      </c>
      <c r="O16" s="118">
        <f>IF(A16&gt;Data!$C$20,0,ROUND('Form 49 '!$M$10*C16/AQ16,0))</f>
        <v>0</v>
      </c>
      <c r="P16" s="118">
        <f>IF(A16&gt;Data!$C$20,0,ROUND(Data!$C$15*C16/AQ16,0))</f>
        <v>0</v>
      </c>
      <c r="Q16" s="118">
        <f>IF(A16&gt;Data!$C$20,0,ROUND(Data!$C$16*C16/AQ16,0))</f>
        <v>0</v>
      </c>
      <c r="R16" s="118">
        <f>IF(A16&gt;Data!$C$20,0,ROUND(Data!$C$17*C16/AQ16,0))</f>
        <v>0</v>
      </c>
      <c r="S16" s="118">
        <f>ROUND(O16*Data!$C$18%,0)</f>
        <v>0</v>
      </c>
      <c r="T16" s="118">
        <f>ROUND(O16*Data!$C$19%,0)</f>
        <v>0</v>
      </c>
      <c r="U16" s="118">
        <f t="shared" si="16"/>
        <v>0</v>
      </c>
      <c r="V16" s="118">
        <f>ROUND(IF(Data!$C$21="Not Applicable",0,BA16)*C16/AQ16,0)</f>
        <v>0</v>
      </c>
      <c r="W16" s="118">
        <f>IF(L16&gt;Data!$C$20,0,ROUND(Data!$T$106*C16/AQ16,0))</f>
        <v>0</v>
      </c>
      <c r="X16" s="118">
        <f t="shared" si="20"/>
        <v>0</v>
      </c>
      <c r="Y16" s="119">
        <f>IF(Data!$C$21="Not Applicable",IF(C16&gt;AQ16/2,AU16,0),0)</f>
        <v>0</v>
      </c>
      <c r="Z16" s="118">
        <f t="shared" si="4"/>
        <v>0</v>
      </c>
      <c r="AA16" s="118">
        <f t="shared" si="4"/>
        <v>0</v>
      </c>
      <c r="AB16" s="118">
        <f t="shared" si="4"/>
        <v>0</v>
      </c>
      <c r="AC16" s="118">
        <f t="shared" si="4"/>
        <v>0</v>
      </c>
      <c r="AD16" s="118">
        <f t="shared" si="4"/>
        <v>0</v>
      </c>
      <c r="AE16" s="118">
        <f t="shared" si="4"/>
        <v>0</v>
      </c>
      <c r="AF16" s="118">
        <f t="shared" si="4"/>
        <v>0</v>
      </c>
      <c r="AG16" s="118">
        <f t="shared" si="4"/>
        <v>0</v>
      </c>
      <c r="AH16" s="118">
        <f t="shared" si="4"/>
        <v>0</v>
      </c>
      <c r="AI16" s="118">
        <f t="shared" si="4"/>
        <v>0</v>
      </c>
      <c r="AJ16" s="118">
        <v>0</v>
      </c>
      <c r="AK16" s="118">
        <f t="shared" si="17"/>
        <v>0</v>
      </c>
      <c r="AL16" s="120">
        <f>IF(Data!$C$23="CPS",ROUND((Z16+AD16)*10%,0),0)</f>
        <v>0</v>
      </c>
      <c r="AM16" s="118">
        <f t="shared" si="5"/>
        <v>0</v>
      </c>
      <c r="AN16" s="120">
        <f t="shared" si="6"/>
        <v>0</v>
      </c>
      <c r="AO16" s="121"/>
      <c r="AP16" s="122">
        <f t="shared" si="7"/>
        <v>12</v>
      </c>
      <c r="AQ16" s="122">
        <f t="shared" si="8"/>
        <v>31</v>
      </c>
      <c r="AR16" s="139">
        <f t="shared" si="9"/>
        <v>0</v>
      </c>
      <c r="AS16" s="124">
        <f t="shared" si="10"/>
        <v>0</v>
      </c>
      <c r="AT16" s="139">
        <f t="shared" si="11"/>
        <v>0</v>
      </c>
      <c r="AU16" s="124">
        <f t="shared" si="12"/>
        <v>0</v>
      </c>
      <c r="AW16" s="140">
        <f t="shared" si="18"/>
        <v>44531</v>
      </c>
      <c r="AX16" s="140">
        <f t="shared" si="13"/>
        <v>44561</v>
      </c>
      <c r="AZ16" s="123">
        <f>IF(Data!$C$21="CA",IF(ROUND(D16*10%,0)&gt;1350,1350,ROUND(D16*10%,0)),0)</f>
        <v>0</v>
      </c>
      <c r="BA16" s="123">
        <f>IF(Data!$C$21="CA",IF(ROUND(O16*10%,0)&gt;1350,1350,ROUND(D16*10%,0)),0)</f>
        <v>0</v>
      </c>
    </row>
    <row r="17" spans="1:53" s="125" customFormat="1" ht="22.5" customHeight="1">
      <c r="A17" s="116">
        <f t="shared" si="14"/>
        <v>44562</v>
      </c>
      <c r="B17" s="151">
        <f t="shared" si="0"/>
        <v>44592</v>
      </c>
      <c r="C17" s="117">
        <f t="shared" si="19"/>
        <v>31</v>
      </c>
      <c r="D17" s="118">
        <f>IF(A17&gt;Data!$C$20,0,ROUND('Form 49 '!$O$10*C17/AQ17,0))</f>
        <v>0</v>
      </c>
      <c r="E17" s="118">
        <f>IF(A17&gt;Data!$C$20,0,ROUND(Data!$C$15*C17/AQ17,0))</f>
        <v>0</v>
      </c>
      <c r="F17" s="118">
        <f>IF(A17&gt;Data!$C$20,0,ROUND(Data!$C$16*C17/AQ17,0))</f>
        <v>0</v>
      </c>
      <c r="G17" s="118">
        <f>IF(A17&gt;Data!$C$20,0,ROUND(Data!$C$17*C17/AQ17,0))</f>
        <v>0</v>
      </c>
      <c r="H17" s="118">
        <f>ROUND(D17*Data!$C$18%,0)</f>
        <v>0</v>
      </c>
      <c r="I17" s="118">
        <f>ROUND(D17*Data!$C$19%,0)</f>
        <v>0</v>
      </c>
      <c r="J17" s="118">
        <f t="shared" si="15"/>
        <v>0</v>
      </c>
      <c r="K17" s="118">
        <f>ROUND(IF(Data!$C$21="Not Applicable",0,AZ17)*C17/AQ17,0)</f>
        <v>0</v>
      </c>
      <c r="L17" s="118">
        <f>IF(A17&gt;Data!$C$20,0,ROUND(Data!$T$106*C17/AQ17,0))</f>
        <v>0</v>
      </c>
      <c r="M17" s="118">
        <f t="shared" si="2"/>
        <v>0</v>
      </c>
      <c r="N17" s="119">
        <f>IF(Data!$C$21="Not Applicable",IF(C17&gt;AQ17/2,Bill!AS17,0),0)</f>
        <v>0</v>
      </c>
      <c r="O17" s="118">
        <f>IF(A17&gt;Data!$C$20,0,ROUND('Form 49 '!$M$10*C17/AQ17,0))</f>
        <v>0</v>
      </c>
      <c r="P17" s="118">
        <f>IF(A17&gt;Data!$C$20,0,ROUND(Data!$C$15*C17/AQ17,0))</f>
        <v>0</v>
      </c>
      <c r="Q17" s="118">
        <f>IF(A17&gt;Data!$C$20,0,ROUND(Data!$C$16*C17/AQ17,0))</f>
        <v>0</v>
      </c>
      <c r="R17" s="118">
        <f>IF(A17&gt;Data!$C$20,0,ROUND(Data!$C$17*C17/AQ17,0))</f>
        <v>0</v>
      </c>
      <c r="S17" s="118">
        <f>ROUND(O17*Data!$C$18%,0)</f>
        <v>0</v>
      </c>
      <c r="T17" s="118">
        <f>ROUND(O17*Data!$C$19%,0)</f>
        <v>0</v>
      </c>
      <c r="U17" s="118">
        <f t="shared" si="16"/>
        <v>0</v>
      </c>
      <c r="V17" s="118">
        <f>ROUND(IF(Data!$C$21="Not Applicable",0,BA17)*C17/AQ17,0)</f>
        <v>0</v>
      </c>
      <c r="W17" s="118">
        <f>IF(L17&gt;Data!$C$20,0,ROUND(Data!$T$106*C17/AQ17,0))</f>
        <v>0</v>
      </c>
      <c r="X17" s="118">
        <f t="shared" si="20"/>
        <v>0</v>
      </c>
      <c r="Y17" s="119">
        <f>IF(Data!$C$21="Not Applicable",IF(C17&gt;AQ17/2,AU17,0),0)</f>
        <v>0</v>
      </c>
      <c r="Z17" s="118">
        <f t="shared" si="4"/>
        <v>0</v>
      </c>
      <c r="AA17" s="118">
        <f t="shared" si="4"/>
        <v>0</v>
      </c>
      <c r="AB17" s="118">
        <f t="shared" si="4"/>
        <v>0</v>
      </c>
      <c r="AC17" s="118">
        <f t="shared" si="4"/>
        <v>0</v>
      </c>
      <c r="AD17" s="118">
        <f t="shared" si="4"/>
        <v>0</v>
      </c>
      <c r="AE17" s="118">
        <f t="shared" si="4"/>
        <v>0</v>
      </c>
      <c r="AF17" s="118">
        <f t="shared" si="4"/>
        <v>0</v>
      </c>
      <c r="AG17" s="118">
        <f t="shared" si="4"/>
        <v>0</v>
      </c>
      <c r="AH17" s="118">
        <f t="shared" si="4"/>
        <v>0</v>
      </c>
      <c r="AI17" s="118">
        <f t="shared" si="4"/>
        <v>0</v>
      </c>
      <c r="AJ17" s="118">
        <v>0</v>
      </c>
      <c r="AK17" s="118">
        <f t="shared" si="17"/>
        <v>0</v>
      </c>
      <c r="AL17" s="120">
        <f>IF(Data!$C$23="CPS",ROUND((Z17+AD17)*10%,0),0)</f>
        <v>0</v>
      </c>
      <c r="AM17" s="118">
        <f t="shared" si="5"/>
        <v>0</v>
      </c>
      <c r="AN17" s="120">
        <f t="shared" si="6"/>
        <v>0</v>
      </c>
      <c r="AO17" s="121"/>
      <c r="AP17" s="122">
        <f t="shared" si="7"/>
        <v>1</v>
      </c>
      <c r="AQ17" s="122">
        <f t="shared" si="8"/>
        <v>31</v>
      </c>
      <c r="AR17" s="139">
        <f t="shared" si="9"/>
        <v>0</v>
      </c>
      <c r="AS17" s="124">
        <f t="shared" si="10"/>
        <v>0</v>
      </c>
      <c r="AT17" s="139">
        <f t="shared" si="11"/>
        <v>0</v>
      </c>
      <c r="AU17" s="124">
        <f t="shared" si="12"/>
        <v>0</v>
      </c>
      <c r="AW17" s="140">
        <f t="shared" si="18"/>
        <v>44562</v>
      </c>
      <c r="AX17" s="140">
        <f t="shared" si="13"/>
        <v>44592</v>
      </c>
      <c r="AZ17" s="123">
        <f>IF(Data!$C$21="CA",IF(ROUND(D17*10%,0)&gt;1350,1350,ROUND(D17*10%,0)),0)</f>
        <v>0</v>
      </c>
      <c r="BA17" s="123">
        <f>IF(Data!$C$21="CA",IF(ROUND(O17*10%,0)&gt;1350,1350,ROUND(D17*10%,0)),0)</f>
        <v>0</v>
      </c>
    </row>
    <row r="18" spans="1:53" s="125" customFormat="1" ht="22.5" customHeight="1" hidden="1">
      <c r="A18" s="116"/>
      <c r="B18" s="151"/>
      <c r="C18" s="117"/>
      <c r="D18" s="118"/>
      <c r="E18" s="118"/>
      <c r="F18" s="118"/>
      <c r="G18" s="118"/>
      <c r="H18" s="118"/>
      <c r="I18" s="118"/>
      <c r="J18" s="118"/>
      <c r="K18" s="118"/>
      <c r="L18" s="118"/>
      <c r="M18" s="118"/>
      <c r="N18" s="119"/>
      <c r="O18" s="118"/>
      <c r="P18" s="118"/>
      <c r="Q18" s="118"/>
      <c r="R18" s="118"/>
      <c r="S18" s="118"/>
      <c r="T18" s="118"/>
      <c r="U18" s="118"/>
      <c r="V18" s="118"/>
      <c r="W18" s="118"/>
      <c r="X18" s="118"/>
      <c r="Y18" s="119"/>
      <c r="Z18" s="118"/>
      <c r="AA18" s="118"/>
      <c r="AB18" s="118"/>
      <c r="AC18" s="118"/>
      <c r="AD18" s="118"/>
      <c r="AE18" s="118"/>
      <c r="AF18" s="118"/>
      <c r="AG18" s="118"/>
      <c r="AH18" s="118"/>
      <c r="AI18" s="118"/>
      <c r="AJ18" s="118"/>
      <c r="AK18" s="118"/>
      <c r="AL18" s="120"/>
      <c r="AM18" s="118"/>
      <c r="AN18" s="120"/>
      <c r="AO18" s="121"/>
      <c r="AP18" s="122"/>
      <c r="AQ18" s="122"/>
      <c r="AR18" s="139"/>
      <c r="AS18" s="124"/>
      <c r="AT18" s="139"/>
      <c r="AU18" s="124"/>
      <c r="AW18" s="140"/>
      <c r="AX18" s="140"/>
      <c r="AZ18" s="123"/>
      <c r="BA18" s="123"/>
    </row>
    <row r="19" spans="1:53" s="125" customFormat="1" ht="22.5" customHeight="1" hidden="1">
      <c r="A19" s="116"/>
      <c r="B19" s="151"/>
      <c r="C19" s="117"/>
      <c r="D19" s="118"/>
      <c r="E19" s="118"/>
      <c r="F19" s="118"/>
      <c r="G19" s="118"/>
      <c r="H19" s="118"/>
      <c r="I19" s="118"/>
      <c r="J19" s="118"/>
      <c r="K19" s="118"/>
      <c r="L19" s="118"/>
      <c r="M19" s="118"/>
      <c r="N19" s="119"/>
      <c r="O19" s="118"/>
      <c r="P19" s="118"/>
      <c r="Q19" s="118"/>
      <c r="R19" s="118"/>
      <c r="S19" s="118"/>
      <c r="T19" s="118"/>
      <c r="U19" s="118"/>
      <c r="V19" s="118"/>
      <c r="W19" s="118"/>
      <c r="X19" s="118"/>
      <c r="Y19" s="119"/>
      <c r="Z19" s="118"/>
      <c r="AA19" s="118"/>
      <c r="AB19" s="118"/>
      <c r="AC19" s="118"/>
      <c r="AD19" s="118"/>
      <c r="AE19" s="118"/>
      <c r="AF19" s="118"/>
      <c r="AG19" s="118"/>
      <c r="AH19" s="118"/>
      <c r="AI19" s="118"/>
      <c r="AJ19" s="118"/>
      <c r="AK19" s="118"/>
      <c r="AL19" s="120"/>
      <c r="AM19" s="118"/>
      <c r="AN19" s="120"/>
      <c r="AO19" s="121"/>
      <c r="AP19" s="122"/>
      <c r="AQ19" s="122"/>
      <c r="AR19" s="139"/>
      <c r="AS19" s="124"/>
      <c r="AT19" s="139"/>
      <c r="AU19" s="124"/>
      <c r="AW19" s="140"/>
      <c r="AX19" s="140"/>
      <c r="AZ19" s="123"/>
      <c r="BA19" s="123"/>
    </row>
    <row r="20" spans="1:53" s="125" customFormat="1" ht="22.5" customHeight="1" hidden="1">
      <c r="A20" s="116"/>
      <c r="B20" s="151"/>
      <c r="C20" s="117"/>
      <c r="D20" s="118"/>
      <c r="E20" s="118"/>
      <c r="F20" s="118"/>
      <c r="G20" s="118"/>
      <c r="H20" s="118"/>
      <c r="I20" s="118"/>
      <c r="J20" s="118"/>
      <c r="K20" s="118"/>
      <c r="L20" s="118"/>
      <c r="M20" s="118"/>
      <c r="N20" s="119"/>
      <c r="O20" s="118"/>
      <c r="P20" s="118"/>
      <c r="Q20" s="118"/>
      <c r="R20" s="118"/>
      <c r="S20" s="118"/>
      <c r="T20" s="118"/>
      <c r="U20" s="118"/>
      <c r="V20" s="118"/>
      <c r="W20" s="118"/>
      <c r="X20" s="118"/>
      <c r="Y20" s="119"/>
      <c r="Z20" s="118"/>
      <c r="AA20" s="118"/>
      <c r="AB20" s="118"/>
      <c r="AC20" s="118"/>
      <c r="AD20" s="118"/>
      <c r="AE20" s="118"/>
      <c r="AF20" s="118"/>
      <c r="AG20" s="118"/>
      <c r="AH20" s="118"/>
      <c r="AI20" s="118"/>
      <c r="AJ20" s="118"/>
      <c r="AK20" s="118"/>
      <c r="AL20" s="120"/>
      <c r="AM20" s="118"/>
      <c r="AN20" s="120"/>
      <c r="AO20" s="121"/>
      <c r="AP20" s="122"/>
      <c r="AQ20" s="122"/>
      <c r="AR20" s="139"/>
      <c r="AS20" s="124"/>
      <c r="AT20" s="139"/>
      <c r="AU20" s="124"/>
      <c r="AW20" s="140"/>
      <c r="AX20" s="140"/>
      <c r="AZ20" s="123"/>
      <c r="BA20" s="123"/>
    </row>
    <row r="21" spans="1:53" s="125" customFormat="1" ht="22.5" customHeight="1" hidden="1">
      <c r="A21" s="116"/>
      <c r="B21" s="151"/>
      <c r="C21" s="117"/>
      <c r="D21" s="118"/>
      <c r="E21" s="118"/>
      <c r="F21" s="118"/>
      <c r="G21" s="118"/>
      <c r="H21" s="118"/>
      <c r="I21" s="118"/>
      <c r="J21" s="118"/>
      <c r="K21" s="118"/>
      <c r="L21" s="118"/>
      <c r="M21" s="118"/>
      <c r="N21" s="119"/>
      <c r="O21" s="118"/>
      <c r="P21" s="118"/>
      <c r="Q21" s="118"/>
      <c r="R21" s="118"/>
      <c r="S21" s="118"/>
      <c r="T21" s="118"/>
      <c r="U21" s="118"/>
      <c r="V21" s="118"/>
      <c r="W21" s="118"/>
      <c r="X21" s="118"/>
      <c r="Y21" s="119"/>
      <c r="Z21" s="118"/>
      <c r="AA21" s="118"/>
      <c r="AB21" s="118"/>
      <c r="AC21" s="118"/>
      <c r="AD21" s="118"/>
      <c r="AE21" s="118"/>
      <c r="AF21" s="118"/>
      <c r="AG21" s="118"/>
      <c r="AH21" s="118"/>
      <c r="AI21" s="118"/>
      <c r="AJ21" s="118"/>
      <c r="AK21" s="118"/>
      <c r="AL21" s="120"/>
      <c r="AM21" s="118"/>
      <c r="AN21" s="120"/>
      <c r="AO21" s="121"/>
      <c r="AP21" s="122"/>
      <c r="AQ21" s="122"/>
      <c r="AR21" s="139"/>
      <c r="AS21" s="124"/>
      <c r="AT21" s="139"/>
      <c r="AU21" s="124"/>
      <c r="AW21" s="140"/>
      <c r="AX21" s="140"/>
      <c r="AZ21" s="123"/>
      <c r="BA21" s="123"/>
    </row>
    <row r="22" spans="1:53" s="125" customFormat="1" ht="22.5" customHeight="1" hidden="1">
      <c r="A22" s="116"/>
      <c r="B22" s="151"/>
      <c r="C22" s="117"/>
      <c r="D22" s="118"/>
      <c r="E22" s="118"/>
      <c r="F22" s="118"/>
      <c r="G22" s="118"/>
      <c r="H22" s="118"/>
      <c r="I22" s="118"/>
      <c r="J22" s="118"/>
      <c r="K22" s="118"/>
      <c r="L22" s="118"/>
      <c r="M22" s="118"/>
      <c r="N22" s="119"/>
      <c r="O22" s="118"/>
      <c r="P22" s="118"/>
      <c r="Q22" s="118"/>
      <c r="R22" s="118"/>
      <c r="S22" s="118"/>
      <c r="T22" s="118"/>
      <c r="U22" s="118"/>
      <c r="V22" s="118"/>
      <c r="W22" s="118"/>
      <c r="X22" s="118"/>
      <c r="Y22" s="119"/>
      <c r="Z22" s="118"/>
      <c r="AA22" s="118"/>
      <c r="AB22" s="118"/>
      <c r="AC22" s="118"/>
      <c r="AD22" s="118"/>
      <c r="AE22" s="118"/>
      <c r="AF22" s="118"/>
      <c r="AG22" s="118"/>
      <c r="AH22" s="118"/>
      <c r="AI22" s="118"/>
      <c r="AJ22" s="118"/>
      <c r="AK22" s="118"/>
      <c r="AL22" s="120"/>
      <c r="AM22" s="118"/>
      <c r="AN22" s="120"/>
      <c r="AO22" s="121"/>
      <c r="AP22" s="122"/>
      <c r="AQ22" s="122"/>
      <c r="AR22" s="139"/>
      <c r="AS22" s="124"/>
      <c r="AT22" s="139"/>
      <c r="AU22" s="124"/>
      <c r="AW22" s="140"/>
      <c r="AX22" s="140"/>
      <c r="AZ22" s="123"/>
      <c r="BA22" s="123"/>
    </row>
    <row r="23" spans="1:53" s="125" customFormat="1" ht="22.5" customHeight="1" hidden="1">
      <c r="A23" s="116"/>
      <c r="B23" s="151"/>
      <c r="C23" s="117"/>
      <c r="D23" s="118"/>
      <c r="E23" s="118"/>
      <c r="F23" s="118"/>
      <c r="G23" s="118"/>
      <c r="H23" s="118"/>
      <c r="I23" s="118"/>
      <c r="J23" s="118"/>
      <c r="K23" s="118"/>
      <c r="L23" s="118"/>
      <c r="M23" s="118"/>
      <c r="N23" s="119"/>
      <c r="O23" s="118"/>
      <c r="P23" s="118"/>
      <c r="Q23" s="118"/>
      <c r="R23" s="118"/>
      <c r="S23" s="118"/>
      <c r="T23" s="118"/>
      <c r="U23" s="118"/>
      <c r="V23" s="118"/>
      <c r="W23" s="118"/>
      <c r="X23" s="118"/>
      <c r="Y23" s="119"/>
      <c r="Z23" s="118"/>
      <c r="AA23" s="118"/>
      <c r="AB23" s="118"/>
      <c r="AC23" s="118"/>
      <c r="AD23" s="118"/>
      <c r="AE23" s="118"/>
      <c r="AF23" s="118"/>
      <c r="AG23" s="118"/>
      <c r="AH23" s="118"/>
      <c r="AI23" s="118"/>
      <c r="AJ23" s="118"/>
      <c r="AK23" s="118"/>
      <c r="AL23" s="120"/>
      <c r="AM23" s="118"/>
      <c r="AN23" s="120"/>
      <c r="AO23" s="121"/>
      <c r="AP23" s="122"/>
      <c r="AQ23" s="122"/>
      <c r="AR23" s="139"/>
      <c r="AS23" s="124"/>
      <c r="AT23" s="139"/>
      <c r="AU23" s="124"/>
      <c r="AW23" s="140"/>
      <c r="AX23" s="140"/>
      <c r="AZ23" s="123"/>
      <c r="BA23" s="123"/>
    </row>
    <row r="24" spans="1:53" s="125" customFormat="1" ht="22.5" customHeight="1" hidden="1">
      <c r="A24" s="116"/>
      <c r="B24" s="151"/>
      <c r="C24" s="117"/>
      <c r="D24" s="118"/>
      <c r="E24" s="118"/>
      <c r="F24" s="118"/>
      <c r="G24" s="118"/>
      <c r="H24" s="118"/>
      <c r="I24" s="118"/>
      <c r="J24" s="118"/>
      <c r="K24" s="118"/>
      <c r="L24" s="118"/>
      <c r="M24" s="118"/>
      <c r="N24" s="119"/>
      <c r="O24" s="118"/>
      <c r="P24" s="118"/>
      <c r="Q24" s="118"/>
      <c r="R24" s="118"/>
      <c r="S24" s="118"/>
      <c r="T24" s="118"/>
      <c r="U24" s="118"/>
      <c r="V24" s="118"/>
      <c r="W24" s="118"/>
      <c r="X24" s="118"/>
      <c r="Y24" s="119"/>
      <c r="Z24" s="118"/>
      <c r="AA24" s="118"/>
      <c r="AB24" s="118"/>
      <c r="AC24" s="118"/>
      <c r="AD24" s="118"/>
      <c r="AE24" s="118"/>
      <c r="AF24" s="118"/>
      <c r="AG24" s="118"/>
      <c r="AH24" s="118"/>
      <c r="AI24" s="118"/>
      <c r="AJ24" s="118"/>
      <c r="AK24" s="118"/>
      <c r="AL24" s="120"/>
      <c r="AM24" s="118"/>
      <c r="AN24" s="120"/>
      <c r="AO24" s="121"/>
      <c r="AP24" s="122"/>
      <c r="AQ24" s="122"/>
      <c r="AR24" s="139"/>
      <c r="AS24" s="124"/>
      <c r="AT24" s="139"/>
      <c r="AU24" s="124"/>
      <c r="AW24" s="140"/>
      <c r="AX24" s="140"/>
      <c r="AZ24" s="123"/>
      <c r="BA24" s="123"/>
    </row>
    <row r="25" spans="1:53" s="125" customFormat="1" ht="22.5" customHeight="1" hidden="1">
      <c r="A25" s="116"/>
      <c r="B25" s="151"/>
      <c r="C25" s="117"/>
      <c r="D25" s="118"/>
      <c r="E25" s="118"/>
      <c r="F25" s="118"/>
      <c r="G25" s="118"/>
      <c r="H25" s="118"/>
      <c r="I25" s="118"/>
      <c r="J25" s="118"/>
      <c r="K25" s="118"/>
      <c r="L25" s="118"/>
      <c r="M25" s="118"/>
      <c r="N25" s="119"/>
      <c r="O25" s="118"/>
      <c r="P25" s="118"/>
      <c r="Q25" s="118"/>
      <c r="R25" s="118"/>
      <c r="S25" s="118"/>
      <c r="T25" s="118"/>
      <c r="U25" s="118"/>
      <c r="V25" s="118"/>
      <c r="W25" s="118"/>
      <c r="X25" s="118"/>
      <c r="Y25" s="119"/>
      <c r="Z25" s="118"/>
      <c r="AA25" s="118"/>
      <c r="AB25" s="118"/>
      <c r="AC25" s="118"/>
      <c r="AD25" s="118"/>
      <c r="AE25" s="118"/>
      <c r="AF25" s="118"/>
      <c r="AG25" s="118"/>
      <c r="AH25" s="118"/>
      <c r="AI25" s="118"/>
      <c r="AJ25" s="118"/>
      <c r="AK25" s="118"/>
      <c r="AL25" s="120"/>
      <c r="AM25" s="118"/>
      <c r="AN25" s="120"/>
      <c r="AO25" s="121"/>
      <c r="AP25" s="122"/>
      <c r="AQ25" s="122"/>
      <c r="AR25" s="139"/>
      <c r="AS25" s="124"/>
      <c r="AT25" s="139"/>
      <c r="AU25" s="124"/>
      <c r="AW25" s="140"/>
      <c r="AX25" s="140"/>
      <c r="AZ25" s="123"/>
      <c r="BA25" s="123"/>
    </row>
    <row r="26" spans="1:53" s="125" customFormat="1" ht="22.5" customHeight="1" hidden="1">
      <c r="A26" s="116"/>
      <c r="B26" s="151"/>
      <c r="C26" s="117"/>
      <c r="D26" s="118"/>
      <c r="E26" s="118"/>
      <c r="F26" s="118"/>
      <c r="G26" s="118"/>
      <c r="H26" s="118"/>
      <c r="I26" s="118"/>
      <c r="J26" s="118"/>
      <c r="K26" s="118"/>
      <c r="L26" s="118"/>
      <c r="M26" s="118"/>
      <c r="N26" s="119"/>
      <c r="O26" s="118"/>
      <c r="P26" s="118"/>
      <c r="Q26" s="118"/>
      <c r="R26" s="118"/>
      <c r="S26" s="118"/>
      <c r="T26" s="118"/>
      <c r="U26" s="118"/>
      <c r="V26" s="118"/>
      <c r="W26" s="118"/>
      <c r="X26" s="118"/>
      <c r="Y26" s="119"/>
      <c r="Z26" s="118"/>
      <c r="AA26" s="118"/>
      <c r="AB26" s="118"/>
      <c r="AC26" s="118"/>
      <c r="AD26" s="118"/>
      <c r="AE26" s="118"/>
      <c r="AF26" s="118"/>
      <c r="AG26" s="118"/>
      <c r="AH26" s="118"/>
      <c r="AI26" s="118"/>
      <c r="AJ26" s="118"/>
      <c r="AK26" s="118"/>
      <c r="AL26" s="120"/>
      <c r="AM26" s="118"/>
      <c r="AN26" s="120"/>
      <c r="AO26" s="121"/>
      <c r="AP26" s="122"/>
      <c r="AQ26" s="122"/>
      <c r="AR26" s="139"/>
      <c r="AS26" s="124"/>
      <c r="AT26" s="139"/>
      <c r="AU26" s="124"/>
      <c r="AW26" s="140"/>
      <c r="AX26" s="140"/>
      <c r="AZ26" s="123"/>
      <c r="BA26" s="123"/>
    </row>
    <row r="27" spans="1:53" s="125" customFormat="1" ht="22.5" customHeight="1" hidden="1">
      <c r="A27" s="116"/>
      <c r="B27" s="151"/>
      <c r="C27" s="117"/>
      <c r="D27" s="118"/>
      <c r="E27" s="118"/>
      <c r="F27" s="118"/>
      <c r="G27" s="118"/>
      <c r="H27" s="118"/>
      <c r="I27" s="118"/>
      <c r="J27" s="118"/>
      <c r="K27" s="118"/>
      <c r="L27" s="118"/>
      <c r="M27" s="118"/>
      <c r="N27" s="119"/>
      <c r="O27" s="118"/>
      <c r="P27" s="118"/>
      <c r="Q27" s="118"/>
      <c r="R27" s="118"/>
      <c r="S27" s="118"/>
      <c r="T27" s="118"/>
      <c r="U27" s="118"/>
      <c r="V27" s="118"/>
      <c r="W27" s="118"/>
      <c r="X27" s="118"/>
      <c r="Y27" s="119"/>
      <c r="Z27" s="118"/>
      <c r="AA27" s="118"/>
      <c r="AB27" s="118"/>
      <c r="AC27" s="118"/>
      <c r="AD27" s="118"/>
      <c r="AE27" s="118"/>
      <c r="AF27" s="118"/>
      <c r="AG27" s="118"/>
      <c r="AH27" s="118"/>
      <c r="AI27" s="118"/>
      <c r="AJ27" s="118"/>
      <c r="AK27" s="118"/>
      <c r="AL27" s="120"/>
      <c r="AM27" s="118"/>
      <c r="AN27" s="120"/>
      <c r="AO27" s="121"/>
      <c r="AP27" s="122"/>
      <c r="AQ27" s="122"/>
      <c r="AR27" s="139"/>
      <c r="AS27" s="124"/>
      <c r="AT27" s="139"/>
      <c r="AU27" s="124"/>
      <c r="AW27" s="140"/>
      <c r="AX27" s="140"/>
      <c r="AZ27" s="123"/>
      <c r="BA27" s="123"/>
    </row>
    <row r="28" spans="1:53" s="125" customFormat="1" ht="22.5" customHeight="1" hidden="1">
      <c r="A28" s="116"/>
      <c r="B28" s="151"/>
      <c r="C28" s="117"/>
      <c r="D28" s="118"/>
      <c r="E28" s="118"/>
      <c r="F28" s="118"/>
      <c r="G28" s="118"/>
      <c r="H28" s="118"/>
      <c r="I28" s="118"/>
      <c r="J28" s="118"/>
      <c r="K28" s="118"/>
      <c r="L28" s="118"/>
      <c r="M28" s="118"/>
      <c r="N28" s="119"/>
      <c r="O28" s="118"/>
      <c r="P28" s="118"/>
      <c r="Q28" s="118"/>
      <c r="R28" s="118"/>
      <c r="S28" s="118"/>
      <c r="T28" s="118"/>
      <c r="U28" s="118"/>
      <c r="V28" s="118"/>
      <c r="W28" s="118"/>
      <c r="X28" s="118"/>
      <c r="Y28" s="119"/>
      <c r="Z28" s="118"/>
      <c r="AA28" s="118"/>
      <c r="AB28" s="118"/>
      <c r="AC28" s="118"/>
      <c r="AD28" s="118"/>
      <c r="AE28" s="118"/>
      <c r="AF28" s="118"/>
      <c r="AG28" s="118"/>
      <c r="AH28" s="118"/>
      <c r="AI28" s="118"/>
      <c r="AJ28" s="118"/>
      <c r="AK28" s="118"/>
      <c r="AL28" s="120"/>
      <c r="AM28" s="118"/>
      <c r="AN28" s="120"/>
      <c r="AO28" s="121"/>
      <c r="AP28" s="122"/>
      <c r="AQ28" s="122"/>
      <c r="AR28" s="139"/>
      <c r="AS28" s="124"/>
      <c r="AT28" s="139"/>
      <c r="AU28" s="124"/>
      <c r="AW28" s="140"/>
      <c r="AX28" s="140"/>
      <c r="AZ28" s="123"/>
      <c r="BA28" s="123"/>
    </row>
    <row r="29" spans="1:53" s="125" customFormat="1" ht="22.5" customHeight="1" hidden="1">
      <c r="A29" s="116"/>
      <c r="B29" s="151"/>
      <c r="C29" s="117"/>
      <c r="D29" s="118"/>
      <c r="E29" s="118"/>
      <c r="F29" s="118"/>
      <c r="G29" s="118"/>
      <c r="H29" s="118"/>
      <c r="I29" s="118"/>
      <c r="J29" s="118"/>
      <c r="K29" s="118"/>
      <c r="L29" s="118"/>
      <c r="M29" s="118"/>
      <c r="N29" s="119"/>
      <c r="O29" s="118"/>
      <c r="P29" s="118"/>
      <c r="Q29" s="118"/>
      <c r="R29" s="118"/>
      <c r="S29" s="118"/>
      <c r="T29" s="118"/>
      <c r="U29" s="118"/>
      <c r="V29" s="118"/>
      <c r="W29" s="118"/>
      <c r="X29" s="118"/>
      <c r="Y29" s="119"/>
      <c r="Z29" s="118"/>
      <c r="AA29" s="118"/>
      <c r="AB29" s="118"/>
      <c r="AC29" s="118"/>
      <c r="AD29" s="118"/>
      <c r="AE29" s="118"/>
      <c r="AF29" s="118"/>
      <c r="AG29" s="118"/>
      <c r="AH29" s="118"/>
      <c r="AI29" s="118"/>
      <c r="AJ29" s="118"/>
      <c r="AK29" s="118"/>
      <c r="AL29" s="120"/>
      <c r="AM29" s="118"/>
      <c r="AN29" s="120"/>
      <c r="AO29" s="121"/>
      <c r="AP29" s="122"/>
      <c r="AQ29" s="122"/>
      <c r="AR29" s="139"/>
      <c r="AS29" s="124"/>
      <c r="AT29" s="139"/>
      <c r="AU29" s="124"/>
      <c r="AW29" s="140"/>
      <c r="AX29" s="140"/>
      <c r="AZ29" s="123"/>
      <c r="BA29" s="123"/>
    </row>
    <row r="30" spans="1:53" s="125" customFormat="1" ht="22.5" customHeight="1" hidden="1">
      <c r="A30" s="116"/>
      <c r="B30" s="151"/>
      <c r="C30" s="117"/>
      <c r="D30" s="118"/>
      <c r="E30" s="118"/>
      <c r="F30" s="118"/>
      <c r="G30" s="118"/>
      <c r="H30" s="118"/>
      <c r="I30" s="118"/>
      <c r="J30" s="118"/>
      <c r="K30" s="118"/>
      <c r="L30" s="118"/>
      <c r="M30" s="118"/>
      <c r="N30" s="119"/>
      <c r="O30" s="118"/>
      <c r="P30" s="118"/>
      <c r="Q30" s="118"/>
      <c r="R30" s="118"/>
      <c r="S30" s="118"/>
      <c r="T30" s="118"/>
      <c r="U30" s="118"/>
      <c r="V30" s="118"/>
      <c r="W30" s="118"/>
      <c r="X30" s="118"/>
      <c r="Y30" s="119"/>
      <c r="Z30" s="118"/>
      <c r="AA30" s="118"/>
      <c r="AB30" s="118"/>
      <c r="AC30" s="118"/>
      <c r="AD30" s="118"/>
      <c r="AE30" s="118"/>
      <c r="AF30" s="118"/>
      <c r="AG30" s="118"/>
      <c r="AH30" s="118"/>
      <c r="AI30" s="118"/>
      <c r="AJ30" s="118"/>
      <c r="AK30" s="118"/>
      <c r="AL30" s="120"/>
      <c r="AM30" s="118"/>
      <c r="AN30" s="120"/>
      <c r="AO30" s="121"/>
      <c r="AP30" s="122"/>
      <c r="AQ30" s="122"/>
      <c r="AR30" s="139"/>
      <c r="AS30" s="124"/>
      <c r="AT30" s="139"/>
      <c r="AU30" s="124"/>
      <c r="AW30" s="140"/>
      <c r="AX30" s="140"/>
      <c r="AZ30" s="123"/>
      <c r="BA30" s="123"/>
    </row>
    <row r="31" spans="1:53" s="125" customFormat="1" ht="22.5" customHeight="1" hidden="1">
      <c r="A31" s="116"/>
      <c r="B31" s="151"/>
      <c r="C31" s="117"/>
      <c r="D31" s="118"/>
      <c r="E31" s="118"/>
      <c r="F31" s="118"/>
      <c r="G31" s="118"/>
      <c r="H31" s="118"/>
      <c r="I31" s="118"/>
      <c r="J31" s="118"/>
      <c r="K31" s="118"/>
      <c r="L31" s="118"/>
      <c r="M31" s="118"/>
      <c r="N31" s="119"/>
      <c r="O31" s="118"/>
      <c r="P31" s="118"/>
      <c r="Q31" s="118"/>
      <c r="R31" s="118"/>
      <c r="S31" s="118"/>
      <c r="T31" s="118"/>
      <c r="U31" s="118"/>
      <c r="V31" s="118"/>
      <c r="W31" s="118"/>
      <c r="X31" s="118"/>
      <c r="Y31" s="119"/>
      <c r="Z31" s="118"/>
      <c r="AA31" s="118"/>
      <c r="AB31" s="118"/>
      <c r="AC31" s="118"/>
      <c r="AD31" s="118"/>
      <c r="AE31" s="118"/>
      <c r="AF31" s="118"/>
      <c r="AG31" s="118"/>
      <c r="AH31" s="118"/>
      <c r="AI31" s="118"/>
      <c r="AJ31" s="118"/>
      <c r="AK31" s="118"/>
      <c r="AL31" s="120"/>
      <c r="AM31" s="118"/>
      <c r="AN31" s="120"/>
      <c r="AO31" s="121"/>
      <c r="AP31" s="122"/>
      <c r="AQ31" s="122"/>
      <c r="AR31" s="139"/>
      <c r="AS31" s="124"/>
      <c r="AT31" s="139"/>
      <c r="AU31" s="124"/>
      <c r="AW31" s="140"/>
      <c r="AX31" s="140"/>
      <c r="AZ31" s="123"/>
      <c r="BA31" s="123"/>
    </row>
    <row r="32" spans="1:53" s="125" customFormat="1" ht="22.5" customHeight="1" hidden="1">
      <c r="A32" s="116"/>
      <c r="B32" s="151"/>
      <c r="C32" s="117"/>
      <c r="D32" s="118"/>
      <c r="E32" s="118"/>
      <c r="F32" s="118"/>
      <c r="G32" s="118"/>
      <c r="H32" s="118"/>
      <c r="I32" s="118"/>
      <c r="J32" s="118"/>
      <c r="K32" s="118"/>
      <c r="L32" s="118"/>
      <c r="M32" s="118"/>
      <c r="N32" s="119"/>
      <c r="O32" s="118"/>
      <c r="P32" s="118"/>
      <c r="Q32" s="118"/>
      <c r="R32" s="118"/>
      <c r="S32" s="118"/>
      <c r="T32" s="118"/>
      <c r="U32" s="118"/>
      <c r="V32" s="118"/>
      <c r="W32" s="118"/>
      <c r="X32" s="118"/>
      <c r="Y32" s="119"/>
      <c r="Z32" s="118"/>
      <c r="AA32" s="118"/>
      <c r="AB32" s="118"/>
      <c r="AC32" s="118"/>
      <c r="AD32" s="118"/>
      <c r="AE32" s="118"/>
      <c r="AF32" s="118"/>
      <c r="AG32" s="118"/>
      <c r="AH32" s="118"/>
      <c r="AI32" s="118"/>
      <c r="AJ32" s="118"/>
      <c r="AK32" s="118"/>
      <c r="AL32" s="120"/>
      <c r="AM32" s="118"/>
      <c r="AN32" s="120"/>
      <c r="AO32" s="121"/>
      <c r="AP32" s="122"/>
      <c r="AQ32" s="122"/>
      <c r="AR32" s="139"/>
      <c r="AS32" s="124"/>
      <c r="AT32" s="139"/>
      <c r="AU32" s="124"/>
      <c r="AW32" s="140"/>
      <c r="AX32" s="140"/>
      <c r="AZ32" s="123"/>
      <c r="BA32" s="123"/>
    </row>
    <row r="33" spans="1:53" s="125" customFormat="1" ht="22.5" customHeight="1" hidden="1">
      <c r="A33" s="116"/>
      <c r="B33" s="151"/>
      <c r="C33" s="117"/>
      <c r="D33" s="118"/>
      <c r="E33" s="118"/>
      <c r="F33" s="118"/>
      <c r="G33" s="118"/>
      <c r="H33" s="118"/>
      <c r="I33" s="118"/>
      <c r="J33" s="118"/>
      <c r="K33" s="118"/>
      <c r="L33" s="118"/>
      <c r="M33" s="118"/>
      <c r="N33" s="119"/>
      <c r="O33" s="118"/>
      <c r="P33" s="118"/>
      <c r="Q33" s="118"/>
      <c r="R33" s="118"/>
      <c r="S33" s="118"/>
      <c r="T33" s="118"/>
      <c r="U33" s="118"/>
      <c r="V33" s="118"/>
      <c r="W33" s="118"/>
      <c r="X33" s="118"/>
      <c r="Y33" s="119"/>
      <c r="Z33" s="118"/>
      <c r="AA33" s="118"/>
      <c r="AB33" s="118"/>
      <c r="AC33" s="118"/>
      <c r="AD33" s="118"/>
      <c r="AE33" s="118"/>
      <c r="AF33" s="118"/>
      <c r="AG33" s="118"/>
      <c r="AH33" s="118"/>
      <c r="AI33" s="118"/>
      <c r="AJ33" s="118"/>
      <c r="AK33" s="118"/>
      <c r="AL33" s="120"/>
      <c r="AM33" s="118"/>
      <c r="AN33" s="120"/>
      <c r="AO33" s="121"/>
      <c r="AP33" s="122"/>
      <c r="AQ33" s="122"/>
      <c r="AR33" s="139"/>
      <c r="AS33" s="124"/>
      <c r="AT33" s="139"/>
      <c r="AU33" s="124"/>
      <c r="AW33" s="140"/>
      <c r="AX33" s="140"/>
      <c r="AZ33" s="123"/>
      <c r="BA33" s="123"/>
    </row>
    <row r="34" spans="1:53" s="125" customFormat="1" ht="22.5" customHeight="1" hidden="1">
      <c r="A34" s="116"/>
      <c r="B34" s="151"/>
      <c r="C34" s="117"/>
      <c r="D34" s="118"/>
      <c r="E34" s="118"/>
      <c r="F34" s="118"/>
      <c r="G34" s="118"/>
      <c r="H34" s="118"/>
      <c r="I34" s="118"/>
      <c r="J34" s="118"/>
      <c r="K34" s="118"/>
      <c r="L34" s="118"/>
      <c r="M34" s="118"/>
      <c r="N34" s="119"/>
      <c r="O34" s="118"/>
      <c r="P34" s="118"/>
      <c r="Q34" s="118"/>
      <c r="R34" s="118"/>
      <c r="S34" s="118"/>
      <c r="T34" s="118"/>
      <c r="U34" s="118"/>
      <c r="V34" s="118"/>
      <c r="W34" s="118"/>
      <c r="X34" s="118"/>
      <c r="Y34" s="119"/>
      <c r="Z34" s="118"/>
      <c r="AA34" s="118"/>
      <c r="AB34" s="118"/>
      <c r="AC34" s="118"/>
      <c r="AD34" s="118"/>
      <c r="AE34" s="118"/>
      <c r="AF34" s="118"/>
      <c r="AG34" s="118"/>
      <c r="AH34" s="118"/>
      <c r="AI34" s="118"/>
      <c r="AJ34" s="118"/>
      <c r="AK34" s="118"/>
      <c r="AL34" s="120"/>
      <c r="AM34" s="118"/>
      <c r="AN34" s="120"/>
      <c r="AO34" s="121"/>
      <c r="AP34" s="122"/>
      <c r="AQ34" s="122"/>
      <c r="AR34" s="139"/>
      <c r="AS34" s="124"/>
      <c r="AT34" s="139"/>
      <c r="AU34" s="124"/>
      <c r="AW34" s="140"/>
      <c r="AX34" s="140"/>
      <c r="AZ34" s="123"/>
      <c r="BA34" s="123"/>
    </row>
    <row r="35" spans="1:53" s="125" customFormat="1" ht="22.5" customHeight="1" hidden="1">
      <c r="A35" s="116"/>
      <c r="B35" s="151"/>
      <c r="C35" s="117"/>
      <c r="D35" s="118"/>
      <c r="E35" s="118"/>
      <c r="F35" s="118"/>
      <c r="G35" s="118"/>
      <c r="H35" s="118"/>
      <c r="I35" s="118"/>
      <c r="J35" s="118"/>
      <c r="K35" s="118"/>
      <c r="L35" s="118"/>
      <c r="M35" s="118"/>
      <c r="N35" s="119"/>
      <c r="O35" s="118"/>
      <c r="P35" s="118"/>
      <c r="Q35" s="118"/>
      <c r="R35" s="118"/>
      <c r="S35" s="118"/>
      <c r="T35" s="118"/>
      <c r="U35" s="118"/>
      <c r="V35" s="118"/>
      <c r="W35" s="118"/>
      <c r="X35" s="118"/>
      <c r="Y35" s="119"/>
      <c r="Z35" s="118"/>
      <c r="AA35" s="118"/>
      <c r="AB35" s="118"/>
      <c r="AC35" s="118"/>
      <c r="AD35" s="118"/>
      <c r="AE35" s="118"/>
      <c r="AF35" s="118"/>
      <c r="AG35" s="118"/>
      <c r="AH35" s="118"/>
      <c r="AI35" s="118"/>
      <c r="AJ35" s="118"/>
      <c r="AK35" s="118"/>
      <c r="AL35" s="120"/>
      <c r="AM35" s="118"/>
      <c r="AN35" s="120"/>
      <c r="AO35" s="121"/>
      <c r="AP35" s="122"/>
      <c r="AQ35" s="122"/>
      <c r="AR35" s="139"/>
      <c r="AS35" s="124"/>
      <c r="AT35" s="139"/>
      <c r="AU35" s="124"/>
      <c r="AW35" s="140"/>
      <c r="AX35" s="140"/>
      <c r="AZ35" s="123"/>
      <c r="BA35" s="123"/>
    </row>
    <row r="36" spans="1:53" s="125" customFormat="1" ht="22.5" customHeight="1" hidden="1">
      <c r="A36" s="116"/>
      <c r="B36" s="151"/>
      <c r="C36" s="117"/>
      <c r="D36" s="118"/>
      <c r="E36" s="118"/>
      <c r="F36" s="118"/>
      <c r="G36" s="118"/>
      <c r="H36" s="118"/>
      <c r="I36" s="118"/>
      <c r="J36" s="118"/>
      <c r="K36" s="118"/>
      <c r="L36" s="118"/>
      <c r="M36" s="118"/>
      <c r="N36" s="119"/>
      <c r="O36" s="118"/>
      <c r="P36" s="118"/>
      <c r="Q36" s="118"/>
      <c r="R36" s="118"/>
      <c r="S36" s="118"/>
      <c r="T36" s="118"/>
      <c r="U36" s="118"/>
      <c r="V36" s="118"/>
      <c r="W36" s="118"/>
      <c r="X36" s="118"/>
      <c r="Y36" s="119"/>
      <c r="Z36" s="118"/>
      <c r="AA36" s="118"/>
      <c r="AB36" s="118"/>
      <c r="AC36" s="118"/>
      <c r="AD36" s="118"/>
      <c r="AE36" s="118"/>
      <c r="AF36" s="118"/>
      <c r="AG36" s="118"/>
      <c r="AH36" s="118"/>
      <c r="AI36" s="118"/>
      <c r="AJ36" s="118"/>
      <c r="AK36" s="118"/>
      <c r="AL36" s="120"/>
      <c r="AM36" s="118"/>
      <c r="AN36" s="120"/>
      <c r="AO36" s="121"/>
      <c r="AP36" s="122"/>
      <c r="AQ36" s="122"/>
      <c r="AR36" s="139"/>
      <c r="AS36" s="124"/>
      <c r="AT36" s="139"/>
      <c r="AU36" s="124"/>
      <c r="AW36" s="140"/>
      <c r="AX36" s="140"/>
      <c r="AZ36" s="123"/>
      <c r="BA36" s="123"/>
    </row>
    <row r="37" spans="1:53" s="125" customFormat="1" ht="22.5" customHeight="1" hidden="1">
      <c r="A37" s="116"/>
      <c r="B37" s="151"/>
      <c r="C37" s="117"/>
      <c r="D37" s="118"/>
      <c r="E37" s="118"/>
      <c r="F37" s="118"/>
      <c r="G37" s="118"/>
      <c r="H37" s="118"/>
      <c r="I37" s="118"/>
      <c r="J37" s="118"/>
      <c r="K37" s="118"/>
      <c r="L37" s="118"/>
      <c r="M37" s="118"/>
      <c r="N37" s="119"/>
      <c r="O37" s="118"/>
      <c r="P37" s="118"/>
      <c r="Q37" s="118"/>
      <c r="R37" s="118"/>
      <c r="S37" s="118"/>
      <c r="T37" s="118"/>
      <c r="U37" s="118"/>
      <c r="V37" s="118"/>
      <c r="W37" s="118"/>
      <c r="X37" s="118"/>
      <c r="Y37" s="119"/>
      <c r="Z37" s="118"/>
      <c r="AA37" s="118"/>
      <c r="AB37" s="118"/>
      <c r="AC37" s="118"/>
      <c r="AD37" s="118"/>
      <c r="AE37" s="118"/>
      <c r="AF37" s="118"/>
      <c r="AG37" s="118"/>
      <c r="AH37" s="118"/>
      <c r="AI37" s="118"/>
      <c r="AJ37" s="118"/>
      <c r="AK37" s="118"/>
      <c r="AL37" s="120"/>
      <c r="AM37" s="118"/>
      <c r="AN37" s="120"/>
      <c r="AO37" s="121"/>
      <c r="AP37" s="122"/>
      <c r="AQ37" s="122"/>
      <c r="AR37" s="139"/>
      <c r="AS37" s="124"/>
      <c r="AT37" s="139"/>
      <c r="AU37" s="124"/>
      <c r="AW37" s="140"/>
      <c r="AX37" s="140"/>
      <c r="AZ37" s="123"/>
      <c r="BA37" s="123"/>
    </row>
    <row r="38" spans="1:50" s="125" customFormat="1" ht="22.5" customHeight="1" hidden="1">
      <c r="A38" s="116"/>
      <c r="B38" s="116"/>
      <c r="C38" s="117"/>
      <c r="D38" s="118">
        <f>IF(A38&gt;Data!$C$20,0,ROUND('Form 49 '!$O$10*C38/AQ38,0))</f>
        <v>0</v>
      </c>
      <c r="E38" s="118">
        <f>ROUND(Data!$C$15*C38/AQ38,0)</f>
        <v>0</v>
      </c>
      <c r="F38" s="118">
        <f>ROUND(Data!$C$16*C38/AQ38,0)</f>
        <v>0</v>
      </c>
      <c r="G38" s="118">
        <f>ROUND(Data!$C$17*C38/AQ38,0)</f>
        <v>0</v>
      </c>
      <c r="H38" s="118">
        <f>ROUND(D38*Data!$C$18%,0)</f>
        <v>0</v>
      </c>
      <c r="I38" s="118">
        <f>ROUND(D38*Data!$C$19%,0)</f>
        <v>0</v>
      </c>
      <c r="J38" s="118">
        <f>ROUND(ROUND('[1]Bill Preparation'!F35*'[1]Bill Preparation'!J35/100,0)*C38/'[1]Bill Preparation'!BO35,0)</f>
        <v>0</v>
      </c>
      <c r="K38" s="118">
        <f>ROUND(IF(Data!$C$21="Not Applicable",0,AZ38)*C38/AQ38,0)</f>
        <v>0</v>
      </c>
      <c r="L38" s="118">
        <f>ROUND(Data!$T$106*C38/AQ38,0)</f>
        <v>0</v>
      </c>
      <c r="M38" s="118">
        <f>SUM(D38:L38)</f>
        <v>0</v>
      </c>
      <c r="N38" s="119">
        <f>IF(Data!$C$21="Not Applicable",0,IF(C38&gt;AQ38/2,Bill!AS38,0))</f>
        <v>0</v>
      </c>
      <c r="O38" s="118">
        <f>IF(A38&gt;Data!$C$20,0,ROUND('Form 49 '!$M$10*C38/AQ38,0))</f>
        <v>0</v>
      </c>
      <c r="P38" s="118">
        <f>IF(A38&gt;Data!$C$20,0,ROUND(Data!$C$15*C38/AQ38,0))</f>
        <v>0</v>
      </c>
      <c r="Q38" s="118">
        <f>IF(A38&gt;Data!$C$20,0,ROUND(Data!$C$16*C38/AQ38,0))</f>
        <v>0</v>
      </c>
      <c r="R38" s="118">
        <f>IF(A38&gt;Data!$C$20,0,ROUND(Data!$C$17*C38/AQ38,0))</f>
        <v>0</v>
      </c>
      <c r="S38" s="118">
        <f>ROUND(O38*Data!$C$18%,0)</f>
        <v>0</v>
      </c>
      <c r="T38" s="118">
        <f>ROUND(O38*Data!$C$19%,0)</f>
        <v>0</v>
      </c>
      <c r="U38" s="118"/>
      <c r="V38" s="118">
        <f>ROUND(IF(Data!$C$21="Not Applicable",0,BA38)*C38/AQ38,0)</f>
        <v>0</v>
      </c>
      <c r="W38" s="118">
        <f>IF(L38&gt;Data!$C$20,0,ROUND(Data!$T$106*C38/AQ38,0))</f>
        <v>0</v>
      </c>
      <c r="X38" s="118"/>
      <c r="Y38" s="119"/>
      <c r="Z38" s="118"/>
      <c r="AA38" s="118"/>
      <c r="AB38" s="118"/>
      <c r="AC38" s="118"/>
      <c r="AD38" s="118"/>
      <c r="AE38" s="118"/>
      <c r="AF38" s="118"/>
      <c r="AG38" s="118"/>
      <c r="AH38" s="118"/>
      <c r="AI38" s="118"/>
      <c r="AJ38" s="118">
        <v>0</v>
      </c>
      <c r="AK38" s="118"/>
      <c r="AL38" s="120"/>
      <c r="AM38" s="121"/>
      <c r="AN38" s="120"/>
      <c r="AO38" s="121"/>
      <c r="AP38" s="122"/>
      <c r="AQ38" s="122">
        <f>DAY(DATE(YEAR(A38),MONTH(A38)+1,1)-1)*1</f>
        <v>31</v>
      </c>
      <c r="AR38" s="139">
        <f>M38</f>
        <v>0</v>
      </c>
      <c r="AS38" s="124"/>
      <c r="AT38" s="123"/>
      <c r="AU38" s="124"/>
      <c r="AW38" s="140">
        <f>AX37+1</f>
        <v>1</v>
      </c>
      <c r="AX38" s="140">
        <f>DATE(YEAR(AW38),MONTH(AW38)+1,1)-1</f>
        <v>31</v>
      </c>
    </row>
    <row r="39" spans="1:50" s="125" customFormat="1" ht="22.5" customHeight="1" hidden="1">
      <c r="A39" s="116"/>
      <c r="B39" s="116"/>
      <c r="C39" s="117"/>
      <c r="D39" s="118">
        <f>IF(A39&gt;Data!$C$20,0,ROUND('Form 49 '!$O$10*C39/AQ39,0))</f>
        <v>0</v>
      </c>
      <c r="E39" s="118">
        <f>ROUND(Data!$C$15*C39/AQ39,0)</f>
        <v>0</v>
      </c>
      <c r="F39" s="118">
        <f>ROUND(Data!$C$16*C39/AQ39,0)</f>
        <v>0</v>
      </c>
      <c r="G39" s="118">
        <f>ROUND(Data!$C$17*C39/AQ39,0)</f>
        <v>0</v>
      </c>
      <c r="H39" s="118">
        <f>ROUND(D39*Data!$C$18%,0)</f>
        <v>0</v>
      </c>
      <c r="I39" s="118">
        <f>ROUND(D39*Data!$C$19%,0)</f>
        <v>0</v>
      </c>
      <c r="J39" s="118">
        <f>ROUND(ROUND('[1]Bill Preparation'!F36*'[1]Bill Preparation'!J36/100,0)*C39/'[1]Bill Preparation'!BO36,0)</f>
        <v>0</v>
      </c>
      <c r="K39" s="118">
        <f>ROUND(IF(Data!$C$21="Not Applicable",0,AZ39)*C39/AQ39,0)</f>
        <v>0</v>
      </c>
      <c r="L39" s="118">
        <f>ROUND(Data!$T$106*C39/AQ39,0)</f>
        <v>0</v>
      </c>
      <c r="M39" s="118">
        <f>SUM(D39:L39)</f>
        <v>0</v>
      </c>
      <c r="N39" s="119">
        <f>IF(Data!$C$21="Not Applicable",0,IF(C39&gt;AQ39/2,Bill!AS39,0))</f>
        <v>0</v>
      </c>
      <c r="O39" s="118">
        <f>IF(A39&gt;Data!$C$20,0,ROUND('Form 49 '!$M$10*C39/AQ39,0))</f>
        <v>0</v>
      </c>
      <c r="P39" s="118">
        <f>IF(A39&gt;Data!$C$20,0,ROUND(Data!$C$15*C39/AQ39,0))</f>
        <v>0</v>
      </c>
      <c r="Q39" s="118">
        <f>IF(A39&gt;Data!$C$20,0,ROUND(Data!$C$16*C39/AQ39,0))</f>
        <v>0</v>
      </c>
      <c r="R39" s="118">
        <f>IF(A39&gt;Data!$C$20,0,ROUND(Data!$C$17*C39/AQ39,0))</f>
        <v>0</v>
      </c>
      <c r="S39" s="118">
        <f>ROUND(O39*Data!$C$18%,0)</f>
        <v>0</v>
      </c>
      <c r="T39" s="118">
        <f>ROUND(O39*Data!$C$19%,0)</f>
        <v>0</v>
      </c>
      <c r="U39" s="118"/>
      <c r="V39" s="118">
        <f>ROUND(IF(Data!$C$21="Not Applicable",0,BA39)*C39/AQ39,0)</f>
        <v>0</v>
      </c>
      <c r="W39" s="118">
        <f>IF(L39&gt;Data!$C$20,0,ROUND(Data!$T$106*C39/AQ39,0))</f>
        <v>0</v>
      </c>
      <c r="X39" s="118"/>
      <c r="Y39" s="119"/>
      <c r="Z39" s="118"/>
      <c r="AA39" s="118"/>
      <c r="AB39" s="118"/>
      <c r="AC39" s="118"/>
      <c r="AD39" s="118"/>
      <c r="AE39" s="118"/>
      <c r="AF39" s="118"/>
      <c r="AG39" s="118"/>
      <c r="AH39" s="118"/>
      <c r="AI39" s="118"/>
      <c r="AJ39" s="118">
        <v>0</v>
      </c>
      <c r="AK39" s="118"/>
      <c r="AL39" s="120"/>
      <c r="AM39" s="121"/>
      <c r="AN39" s="120"/>
      <c r="AO39" s="121"/>
      <c r="AP39" s="122"/>
      <c r="AQ39" s="122">
        <f>DAY(DATE(YEAR(A39),MONTH(A39)+1,1)-1)*1</f>
        <v>31</v>
      </c>
      <c r="AR39" s="139">
        <f>M39</f>
        <v>0</v>
      </c>
      <c r="AS39" s="124"/>
      <c r="AT39" s="123"/>
      <c r="AU39" s="124"/>
      <c r="AW39" s="140">
        <f>AX38+1</f>
        <v>32</v>
      </c>
      <c r="AX39" s="140">
        <f>DATE(YEAR(AW39),MONTH(AW39)+1,1)-1</f>
        <v>60</v>
      </c>
    </row>
    <row r="40" spans="1:50" s="125" customFormat="1" ht="22.5" customHeight="1" hidden="1">
      <c r="A40" s="116"/>
      <c r="B40" s="116"/>
      <c r="C40" s="117"/>
      <c r="D40" s="118">
        <f>IF(A40&gt;Data!$C$20,0,ROUND('Form 49 '!$O$10*C40/AQ40,0))</f>
        <v>0</v>
      </c>
      <c r="E40" s="118">
        <f>ROUND(Data!$C$15*C40/AQ40,0)</f>
        <v>0</v>
      </c>
      <c r="F40" s="118">
        <f>ROUND(Data!$C$16*C40/AQ40,0)</f>
        <v>0</v>
      </c>
      <c r="G40" s="118">
        <f>ROUND(Data!$C$17*C40/AQ40,0)</f>
        <v>0</v>
      </c>
      <c r="H40" s="118">
        <f>ROUND(D40*Data!$C$18%,0)</f>
        <v>0</v>
      </c>
      <c r="I40" s="118">
        <f>ROUND(D40*Data!$C$19%,0)</f>
        <v>0</v>
      </c>
      <c r="J40" s="118">
        <f>ROUND(ROUND('[1]Bill Preparation'!F37*'[1]Bill Preparation'!J37/100,0)*C40/'[1]Bill Preparation'!BO37,0)</f>
        <v>0</v>
      </c>
      <c r="K40" s="118">
        <f>ROUND(IF(Data!$C$21="Not Applicable",0,AZ40)*C40/AQ40,0)</f>
        <v>0</v>
      </c>
      <c r="L40" s="118">
        <f>ROUND(Data!$T$106*C40/AQ40,0)</f>
        <v>0</v>
      </c>
      <c r="M40" s="118">
        <f>SUM(D40:L40)</f>
        <v>0</v>
      </c>
      <c r="N40" s="119">
        <f>IF(Data!$C$21="Not Applicable",0,IF(C40&gt;AQ40/2,Bill!AS40,0))</f>
        <v>0</v>
      </c>
      <c r="O40" s="118">
        <f>IF(A40&gt;Data!$C$20,0,ROUND('Form 49 '!$M$10*C40/AQ40,0))</f>
        <v>0</v>
      </c>
      <c r="P40" s="118">
        <f>IF(A40&gt;Data!$C$20,0,ROUND(Data!$C$15*C40/AQ40,0))</f>
        <v>0</v>
      </c>
      <c r="Q40" s="118">
        <f>IF(A40&gt;Data!$C$20,0,ROUND(Data!$C$16*C40/AQ40,0))</f>
        <v>0</v>
      </c>
      <c r="R40" s="118">
        <f>IF(A40&gt;Data!$C$20,0,ROUND(Data!$C$17*C40/AQ40,0))</f>
        <v>0</v>
      </c>
      <c r="S40" s="118">
        <f>ROUND(O40*Data!$C$18%,0)</f>
        <v>0</v>
      </c>
      <c r="T40" s="118">
        <f>ROUND(O40*Data!$C$19%,0)</f>
        <v>0</v>
      </c>
      <c r="U40" s="118"/>
      <c r="V40" s="118">
        <f>ROUND(IF(Data!$C$21="Not Applicable",0,BA40)*C40/AQ40,0)</f>
        <v>0</v>
      </c>
      <c r="W40" s="118">
        <f>IF(L40&gt;Data!$C$20,0,ROUND(Data!$T$106*C40/AQ40,0))</f>
        <v>0</v>
      </c>
      <c r="X40" s="118"/>
      <c r="Y40" s="119"/>
      <c r="Z40" s="118"/>
      <c r="AA40" s="118"/>
      <c r="AB40" s="118"/>
      <c r="AC40" s="118"/>
      <c r="AD40" s="118"/>
      <c r="AE40" s="118"/>
      <c r="AF40" s="118"/>
      <c r="AG40" s="118"/>
      <c r="AH40" s="118"/>
      <c r="AI40" s="118"/>
      <c r="AJ40" s="118">
        <v>0</v>
      </c>
      <c r="AK40" s="118"/>
      <c r="AL40" s="120"/>
      <c r="AM40" s="121"/>
      <c r="AN40" s="120"/>
      <c r="AO40" s="121"/>
      <c r="AP40" s="122"/>
      <c r="AQ40" s="122">
        <f>DAY(DATE(YEAR(A40),MONTH(A40)+1,1)-1)*1</f>
        <v>31</v>
      </c>
      <c r="AR40" s="139">
        <f>M40</f>
        <v>0</v>
      </c>
      <c r="AS40" s="124"/>
      <c r="AT40" s="123"/>
      <c r="AU40" s="124"/>
      <c r="AW40" s="140">
        <f>AX39+1</f>
        <v>61</v>
      </c>
      <c r="AX40" s="140">
        <f>DATE(YEAR(AW40),MONTH(AW40)+1,1)-1</f>
        <v>91</v>
      </c>
    </row>
    <row r="41" spans="1:41" s="128" customFormat="1" ht="22.5" customHeight="1">
      <c r="A41" s="197" t="s">
        <v>101</v>
      </c>
      <c r="B41" s="198"/>
      <c r="C41" s="198"/>
      <c r="D41" s="198"/>
      <c r="E41" s="198"/>
      <c r="F41" s="198"/>
      <c r="G41" s="198"/>
      <c r="H41" s="198"/>
      <c r="I41" s="198"/>
      <c r="J41" s="198"/>
      <c r="K41" s="198"/>
      <c r="L41" s="198"/>
      <c r="M41" s="198"/>
      <c r="N41" s="198"/>
      <c r="O41" s="198"/>
      <c r="P41" s="198"/>
      <c r="Q41" s="198"/>
      <c r="R41" s="198"/>
      <c r="S41" s="198"/>
      <c r="T41" s="198"/>
      <c r="U41" s="198"/>
      <c r="V41" s="198"/>
      <c r="W41" s="198"/>
      <c r="X41" s="198"/>
      <c r="Y41" s="199"/>
      <c r="Z41" s="126">
        <f aca="true" t="shared" si="21" ref="Z41:AN41">SUM(Z6:Z40)</f>
        <v>2380</v>
      </c>
      <c r="AA41" s="126">
        <f t="shared" si="21"/>
        <v>0</v>
      </c>
      <c r="AB41" s="126">
        <f t="shared" si="21"/>
        <v>0</v>
      </c>
      <c r="AC41" s="126">
        <f t="shared" si="21"/>
        <v>0</v>
      </c>
      <c r="AD41" s="126">
        <f t="shared" si="21"/>
        <v>724</v>
      </c>
      <c r="AE41" s="126">
        <f t="shared" si="21"/>
        <v>344</v>
      </c>
      <c r="AF41" s="126">
        <f t="shared" si="21"/>
        <v>642</v>
      </c>
      <c r="AG41" s="126">
        <f t="shared" si="21"/>
        <v>0</v>
      </c>
      <c r="AH41" s="126">
        <f t="shared" si="21"/>
        <v>0</v>
      </c>
      <c r="AI41" s="126">
        <f t="shared" si="21"/>
        <v>4090</v>
      </c>
      <c r="AJ41" s="126">
        <f t="shared" si="21"/>
        <v>0</v>
      </c>
      <c r="AK41" s="126">
        <f t="shared" si="21"/>
        <v>0</v>
      </c>
      <c r="AL41" s="126">
        <f t="shared" si="21"/>
        <v>0</v>
      </c>
      <c r="AM41" s="126">
        <f t="shared" si="21"/>
        <v>0</v>
      </c>
      <c r="AN41" s="126">
        <f t="shared" si="21"/>
        <v>4090</v>
      </c>
      <c r="AO41" s="127"/>
    </row>
    <row r="42" spans="1:41" s="133" customFormat="1" ht="15" customHeight="1">
      <c r="A42" s="129"/>
      <c r="B42" s="130"/>
      <c r="C42" s="130"/>
      <c r="D42" s="129"/>
      <c r="E42" s="129"/>
      <c r="F42" s="129"/>
      <c r="G42" s="129"/>
      <c r="H42" s="129"/>
      <c r="I42" s="129"/>
      <c r="J42" s="129"/>
      <c r="K42" s="129"/>
      <c r="L42" s="129"/>
      <c r="M42" s="129"/>
      <c r="N42" s="129"/>
      <c r="O42" s="131"/>
      <c r="P42" s="131"/>
      <c r="Q42" s="131"/>
      <c r="R42" s="131"/>
      <c r="S42" s="131"/>
      <c r="T42" s="131"/>
      <c r="U42" s="131"/>
      <c r="V42" s="131"/>
      <c r="W42" s="131"/>
      <c r="X42" s="131"/>
      <c r="Y42" s="131"/>
      <c r="Z42" s="131"/>
      <c r="AA42" s="131"/>
      <c r="AB42" s="131"/>
      <c r="AC42" s="131"/>
      <c r="AD42" s="131"/>
      <c r="AE42" s="131"/>
      <c r="AF42" s="131"/>
      <c r="AG42" s="131"/>
      <c r="AH42" s="131"/>
      <c r="AI42" s="131"/>
      <c r="AJ42" s="131"/>
      <c r="AK42" s="131"/>
      <c r="AL42" s="132"/>
      <c r="AM42" s="131"/>
      <c r="AN42" s="131"/>
      <c r="AO42" s="129"/>
    </row>
    <row r="43" spans="1:41" s="135" customFormat="1" ht="12">
      <c r="A43" s="134"/>
      <c r="B43" s="134"/>
      <c r="C43" s="134"/>
      <c r="D43" s="134"/>
      <c r="E43" s="134"/>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c r="AL43" s="134"/>
      <c r="AM43" s="134"/>
      <c r="AN43" s="134"/>
      <c r="AO43" s="134"/>
    </row>
    <row r="56" spans="42:53" s="136" customFormat="1" ht="12.75" hidden="1">
      <c r="AP56" s="110"/>
      <c r="AQ56" s="110"/>
      <c r="AR56" s="110"/>
      <c r="AS56" s="110"/>
      <c r="AT56" s="110"/>
      <c r="AU56" s="110"/>
      <c r="AV56" s="110"/>
      <c r="AW56" s="110"/>
      <c r="AX56" s="110"/>
      <c r="AY56" s="110"/>
      <c r="AZ56" s="110"/>
      <c r="BA56" s="110"/>
    </row>
    <row r="57" spans="1:53" s="136" customFormat="1" ht="18" customHeight="1" hidden="1">
      <c r="A57" s="137"/>
      <c r="AP57" s="110"/>
      <c r="AQ57" s="110"/>
      <c r="AR57" s="110"/>
      <c r="AS57" s="110"/>
      <c r="AT57" s="110"/>
      <c r="AU57" s="110"/>
      <c r="AV57" s="110"/>
      <c r="AW57" s="110"/>
      <c r="AX57" s="110"/>
      <c r="AY57" s="110"/>
      <c r="AZ57" s="110"/>
      <c r="BA57" s="110"/>
    </row>
    <row r="58" spans="1:53" s="136" customFormat="1" ht="18" customHeight="1">
      <c r="A58" s="138"/>
      <c r="AP58" s="110"/>
      <c r="AQ58" s="110"/>
      <c r="AR58" s="110"/>
      <c r="AS58" s="110"/>
      <c r="AT58" s="110"/>
      <c r="AU58" s="110"/>
      <c r="AV58" s="110"/>
      <c r="AW58" s="110"/>
      <c r="AX58" s="110"/>
      <c r="AY58" s="110"/>
      <c r="AZ58" s="110"/>
      <c r="BA58" s="110"/>
    </row>
    <row r="59" spans="42:53" s="136" customFormat="1" ht="18" customHeight="1">
      <c r="AP59" s="110"/>
      <c r="AQ59" s="110"/>
      <c r="AR59" s="110"/>
      <c r="AS59" s="110"/>
      <c r="AT59" s="110"/>
      <c r="AU59" s="110"/>
      <c r="AV59" s="110"/>
      <c r="AW59" s="110"/>
      <c r="AX59" s="110"/>
      <c r="AY59" s="110"/>
      <c r="AZ59" s="110"/>
      <c r="BA59" s="110"/>
    </row>
    <row r="60" spans="42:53" s="136" customFormat="1" ht="18" customHeight="1">
      <c r="AP60" s="110"/>
      <c r="AQ60" s="110"/>
      <c r="AR60" s="110"/>
      <c r="AS60" s="110"/>
      <c r="AT60" s="110"/>
      <c r="AU60" s="110"/>
      <c r="AV60" s="110"/>
      <c r="AW60" s="110"/>
      <c r="AX60" s="110"/>
      <c r="AY60" s="110"/>
      <c r="AZ60" s="110"/>
      <c r="BA60" s="110"/>
    </row>
    <row r="61" spans="42:53" s="136" customFormat="1" ht="18" customHeight="1">
      <c r="AP61" s="110"/>
      <c r="AQ61" s="110"/>
      <c r="AR61" s="110"/>
      <c r="AS61" s="110"/>
      <c r="AT61" s="110"/>
      <c r="AU61" s="110"/>
      <c r="AV61" s="110"/>
      <c r="AW61" s="110"/>
      <c r="AX61" s="110"/>
      <c r="AY61" s="110"/>
      <c r="AZ61" s="110"/>
      <c r="BA61" s="110"/>
    </row>
    <row r="62" spans="42:53" s="136" customFormat="1" ht="18" customHeight="1">
      <c r="AP62" s="110"/>
      <c r="AQ62" s="110"/>
      <c r="AR62" s="110"/>
      <c r="AS62" s="110"/>
      <c r="AT62" s="110"/>
      <c r="AU62" s="110"/>
      <c r="AV62" s="110"/>
      <c r="AW62" s="110"/>
      <c r="AX62" s="110"/>
      <c r="AY62" s="110"/>
      <c r="AZ62" s="110"/>
      <c r="BA62" s="110"/>
    </row>
    <row r="63" spans="42:53" s="136" customFormat="1" ht="18" customHeight="1">
      <c r="AP63" s="110"/>
      <c r="AQ63" s="110"/>
      <c r="AR63" s="110"/>
      <c r="AS63" s="110"/>
      <c r="AT63" s="110"/>
      <c r="AU63" s="110"/>
      <c r="AV63" s="110"/>
      <c r="AW63" s="110"/>
      <c r="AX63" s="110"/>
      <c r="AY63" s="110"/>
      <c r="AZ63" s="110"/>
      <c r="BA63" s="110"/>
    </row>
    <row r="64" ht="18" customHeight="1"/>
  </sheetData>
  <sheetProtection password="A18B" sheet="1" objects="1" scenarios="1" formatCells="0" formatColumns="0" formatRows="0" selectLockedCells="1"/>
  <mergeCells count="10">
    <mergeCell ref="A41:Y41"/>
    <mergeCell ref="A1:AO1"/>
    <mergeCell ref="A2:AO2"/>
    <mergeCell ref="A3:AO3"/>
    <mergeCell ref="A4:B4"/>
    <mergeCell ref="C4:C5"/>
    <mergeCell ref="D4:N4"/>
    <mergeCell ref="O4:Y4"/>
    <mergeCell ref="Z4:AN4"/>
    <mergeCell ref="AO4:AO5"/>
  </mergeCells>
  <conditionalFormatting sqref="AV21 AO18:AO21 AP38:AP40">
    <cfRule type="expression" priority="7" dxfId="0" stopIfTrue="1">
      <formula>$D$21=0</formula>
    </cfRule>
  </conditionalFormatting>
  <conditionalFormatting sqref="AO22">
    <cfRule type="expression" priority="6" dxfId="0" stopIfTrue="1">
      <formula>$D$22=0</formula>
    </cfRule>
  </conditionalFormatting>
  <conditionalFormatting sqref="AO20">
    <cfRule type="expression" priority="5" dxfId="0" stopIfTrue="1">
      <formula>$D$20=0</formula>
    </cfRule>
  </conditionalFormatting>
  <conditionalFormatting sqref="AO19">
    <cfRule type="expression" priority="4" dxfId="0" stopIfTrue="1">
      <formula>$D$19=0</formula>
    </cfRule>
  </conditionalFormatting>
  <conditionalFormatting sqref="AO18">
    <cfRule type="expression" priority="3" dxfId="0" stopIfTrue="1">
      <formula>$D$18=0</formula>
    </cfRule>
  </conditionalFormatting>
  <conditionalFormatting sqref="AO23">
    <cfRule type="expression" priority="2" dxfId="0" stopIfTrue="1">
      <formula>$D$23=0</formula>
    </cfRule>
  </conditionalFormatting>
  <conditionalFormatting sqref="AO24:AO40">
    <cfRule type="expression" priority="1" dxfId="0" stopIfTrue="1">
      <formula>$D$24=0</formula>
    </cfRule>
  </conditionalFormatting>
  <printOptions/>
  <pageMargins left="0.47244094488189" right="0.354330708661417" top="0.393700787401575" bottom="0.433070866141732" header="0.31496062992126" footer="0.31496062992126"/>
  <pageSetup fitToHeight="1" fitToWidth="1" horizontalDpi="600" verticalDpi="600" orientation="landscape" paperSize="9" scale="61" r:id="rId1"/>
  <rowBreaks count="1" manualBreakCount="1">
    <brk id="4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manish</dc:creator>
  <cp:keywords/>
  <dc:description/>
  <cp:lastModifiedBy>yser</cp:lastModifiedBy>
  <cp:lastPrinted>2018-07-22T09:38:20Z</cp:lastPrinted>
  <dcterms:created xsi:type="dcterms:W3CDTF">2012-11-01T17:09:06Z</dcterms:created>
  <dcterms:modified xsi:type="dcterms:W3CDTF">2021-06-11T10:37:54Z</dcterms:modified>
  <cp:category/>
  <cp:version/>
  <cp:contentType/>
  <cp:contentStatus/>
</cp:coreProperties>
</file>