
<file path=[Content_Types].xml><?xml version="1.0" encoding="utf-8"?>
<Types xmlns="http://schemas.openxmlformats.org/package/2006/content-types">
  <Default Extension="bin" ContentType="application/vnd.openxmlformats-officedocument.spreadsheetml.printerSettings"/>
  <Default Extension="png" ContentType="image/png"/>
  <Override PartName="/xl/revisions/revisionLog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revisions/revisionHeaders.xml" ContentType="application/vnd.openxmlformats-officedocument.spreadsheetml.revisionHeader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revisions/revisionLog11.xml" ContentType="application/vnd.openxmlformats-officedocument.spreadsheetml.revisionLog+xml"/>
  <Override PartName="/docProps/core.xml" ContentType="application/vnd.openxmlformats-package.core-properties+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workbookProtection lockRevision="1"/>
  <bookViews>
    <workbookView xWindow="0" yWindow="0" windowWidth="20490" windowHeight="9735"/>
  </bookViews>
  <sheets>
    <sheet name="Data" sheetId="1" r:id="rId1"/>
    <sheet name="Proceeding" sheetId="2" r:id="rId2"/>
    <sheet name="Option" sheetId="3" r:id="rId3"/>
    <sheet name="Appendix" sheetId="4" r:id="rId4"/>
    <sheet name="Annexures" sheetId="5" r:id="rId5"/>
    <sheet name="Difference" sheetId="6" r:id="rId6"/>
  </sheets>
  <externalReferences>
    <externalReference r:id="rId7"/>
  </externalReferences>
  <definedNames>
    <definedName name="_xlnm.Print_Area" localSheetId="3">Appendix!$B$1:$V$108</definedName>
    <definedName name="_xlnm.Print_Area" localSheetId="2">Option!$B$1:$X$38</definedName>
    <definedName name="_xlnm.Print_Titles" localSheetId="5">Difference!$3:$4</definedName>
    <definedName name="Z_5633FAF7_B486_4D0B_84AB_497A2BE1B953_.wvu.Cols" localSheetId="4" hidden="1">Annexures!$G:$XFD</definedName>
    <definedName name="Z_5633FAF7_B486_4D0B_84AB_497A2BE1B953_.wvu.Cols" localSheetId="3" hidden="1">Appendix!$X:$XFD</definedName>
    <definedName name="Z_5633FAF7_B486_4D0B_84AB_497A2BE1B953_.wvu.Cols" localSheetId="0" hidden="1">Data!$AF:$XFD</definedName>
    <definedName name="Z_5633FAF7_B486_4D0B_84AB_497A2BE1B953_.wvu.Cols" localSheetId="5" hidden="1">Difference!$AR:$XFD</definedName>
    <definedName name="Z_5633FAF7_B486_4D0B_84AB_497A2BE1B953_.wvu.Cols" localSheetId="2" hidden="1">Option!$Y:$XFD</definedName>
    <definedName name="Z_5633FAF7_B486_4D0B_84AB_497A2BE1B953_.wvu.Cols" localSheetId="1" hidden="1">Proceeding!$O:$XFD</definedName>
    <definedName name="Z_5633FAF7_B486_4D0B_84AB_497A2BE1B953_.wvu.PrintArea" localSheetId="3" hidden="1">Appendix!$B$1:$V$108</definedName>
    <definedName name="Z_5633FAF7_B486_4D0B_84AB_497A2BE1B953_.wvu.PrintArea" localSheetId="2" hidden="1">Option!$B$1:$X$38</definedName>
    <definedName name="Z_5633FAF7_B486_4D0B_84AB_497A2BE1B953_.wvu.PrintTitles" localSheetId="5" hidden="1">Difference!$3:$4</definedName>
    <definedName name="Z_5633FAF7_B486_4D0B_84AB_497A2BE1B953_.wvu.Rows" localSheetId="4" hidden="1">Annexures!$38:$1048576,Annexures!$37:$37</definedName>
    <definedName name="Z_5633FAF7_B486_4D0B_84AB_497A2BE1B953_.wvu.Rows" localSheetId="3" hidden="1">Appendix!$136:$1048576,Appendix!$109:$131</definedName>
    <definedName name="Z_5633FAF7_B486_4D0B_84AB_497A2BE1B953_.wvu.Rows" localSheetId="0" hidden="1">Data!$304:$1048576,Data!$54:$303</definedName>
    <definedName name="Z_5633FAF7_B486_4D0B_84AB_497A2BE1B953_.wvu.Rows" localSheetId="5" hidden="1">Difference!$90:$1048576</definedName>
    <definedName name="Z_5633FAF7_B486_4D0B_84AB_497A2BE1B953_.wvu.Rows" localSheetId="2" hidden="1">Option!$44:$1048576,Option!$39:$43</definedName>
    <definedName name="Z_5633FAF7_B486_4D0B_84AB_497A2BE1B953_.wvu.Rows" localSheetId="1" hidden="1">Proceeding!$53:$1048576,Proceeding!$45:$49</definedName>
    <definedName name="Z_F60E2261_838F_4117_A98D_7C5CFDCC0021_.wvu.Cols" localSheetId="4" hidden="1">Annexures!$G:$XFD</definedName>
    <definedName name="Z_F60E2261_838F_4117_A98D_7C5CFDCC0021_.wvu.Cols" localSheetId="3" hidden="1">Appendix!$X:$XFD</definedName>
    <definedName name="Z_F60E2261_838F_4117_A98D_7C5CFDCC0021_.wvu.Cols" localSheetId="0" hidden="1">Data!$AF:$XFD</definedName>
    <definedName name="Z_F60E2261_838F_4117_A98D_7C5CFDCC0021_.wvu.Cols" localSheetId="5" hidden="1">Difference!$AR:$XFD</definedName>
    <definedName name="Z_F60E2261_838F_4117_A98D_7C5CFDCC0021_.wvu.Cols" localSheetId="2" hidden="1">Option!$Y:$XFD</definedName>
    <definedName name="Z_F60E2261_838F_4117_A98D_7C5CFDCC0021_.wvu.Cols" localSheetId="1" hidden="1">Proceeding!$O:$XFD</definedName>
    <definedName name="Z_F60E2261_838F_4117_A98D_7C5CFDCC0021_.wvu.PrintArea" localSheetId="3" hidden="1">Appendix!$B$1:$V$108</definedName>
    <definedName name="Z_F60E2261_838F_4117_A98D_7C5CFDCC0021_.wvu.PrintArea" localSheetId="2" hidden="1">Option!$B$1:$X$38</definedName>
    <definedName name="Z_F60E2261_838F_4117_A98D_7C5CFDCC0021_.wvu.PrintTitles" localSheetId="5" hidden="1">Difference!$3:$4</definedName>
    <definedName name="Z_F60E2261_838F_4117_A98D_7C5CFDCC0021_.wvu.Rows" localSheetId="4" hidden="1">Annexures!$38:$1048576,Annexures!$37:$37</definedName>
    <definedName name="Z_F60E2261_838F_4117_A98D_7C5CFDCC0021_.wvu.Rows" localSheetId="3" hidden="1">Appendix!$136:$1048576,Appendix!$109:$131</definedName>
    <definedName name="Z_F60E2261_838F_4117_A98D_7C5CFDCC0021_.wvu.Rows" localSheetId="0" hidden="1">Data!$304:$1048576,Data!$54:$303</definedName>
    <definedName name="Z_F60E2261_838F_4117_A98D_7C5CFDCC0021_.wvu.Rows" localSheetId="5" hidden="1">Difference!$90:$1048576</definedName>
    <definedName name="Z_F60E2261_838F_4117_A98D_7C5CFDCC0021_.wvu.Rows" localSheetId="2" hidden="1">Option!$44:$1048576,Option!$39:$43</definedName>
    <definedName name="Z_F60E2261_838F_4117_A98D_7C5CFDCC0021_.wvu.Rows" localSheetId="1" hidden="1">Proceeding!$53:$1048576,Proceeding!$45:$49</definedName>
  </definedNames>
  <calcPr calcId="124519"/>
  <customWorkbookViews>
    <customWorkbookView name="yser - Personal View" guid="{F60E2261-838F-4117-A98D-7C5CFDCC0021}" mergeInterval="0" personalView="1" maximized="1" xWindow="1" yWindow="1" windowWidth="1360" windowHeight="496" activeSheetId="1"/>
    <customWorkbookView name="putta - Personal View" guid="{5633FAF7-B486-4D0B-84AB-497A2BE1B953}" mergeInterval="0" personalView="1" maximized="1" xWindow="-8" yWindow="-8" windowWidth="1382" windowHeight="744" activeSheetId="1" showComments="commIndAndComment"/>
  </customWorkbookViews>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195" i="1"/>
  <c r="AP194"/>
  <c r="AH303" l="1"/>
  <c r="AK303"/>
  <c r="K52"/>
  <c r="K51"/>
  <c r="A1" i="6"/>
  <c r="O17" i="3"/>
  <c r="C5" i="2"/>
  <c r="AM303" i="1" l="1"/>
  <c r="AF59" i="6"/>
  <c r="AG59"/>
  <c r="AH59"/>
  <c r="AJ59"/>
  <c r="AK59"/>
  <c r="AL59"/>
  <c r="AN59"/>
  <c r="AO59"/>
  <c r="AF58"/>
  <c r="AG58"/>
  <c r="AH58"/>
  <c r="AJ58"/>
  <c r="AK58"/>
  <c r="AL58"/>
  <c r="AN58"/>
  <c r="AO58"/>
  <c r="AN57"/>
  <c r="AF57"/>
  <c r="AG57"/>
  <c r="AH57"/>
  <c r="AJ57"/>
  <c r="AK57"/>
  <c r="AL57"/>
  <c r="AO57"/>
  <c r="P44" i="1" l="1"/>
  <c r="K44"/>
  <c r="K45" s="1"/>
  <c r="BB213" l="1"/>
  <c r="AY214"/>
  <c r="AA13" i="6" l="1"/>
  <c r="AL56"/>
  <c r="AO56"/>
  <c r="M4" l="1"/>
  <c r="AA4" s="1"/>
  <c r="AL4" s="1"/>
  <c r="A28" i="2" l="1"/>
  <c r="I40"/>
  <c r="I39"/>
  <c r="AF206" i="1"/>
  <c r="BD206" s="1"/>
  <c r="AF210"/>
  <c r="BD210" s="1"/>
  <c r="AF209"/>
  <c r="AF208"/>
  <c r="AF207"/>
  <c r="AF205"/>
  <c r="AH205" l="1"/>
  <c r="BD205"/>
  <c r="K28" i="2" s="1"/>
  <c r="S73" i="4" s="1"/>
  <c r="AH210" i="1"/>
  <c r="AH209"/>
  <c r="BD209"/>
  <c r="K32" i="2" s="1"/>
  <c r="S77" i="4" s="1"/>
  <c r="K29" i="2"/>
  <c r="S74" i="4" s="1"/>
  <c r="BD207" i="1"/>
  <c r="K30" i="2" s="1"/>
  <c r="S75" i="4" s="1"/>
  <c r="AH207" i="1"/>
  <c r="AH208"/>
  <c r="BD208"/>
  <c r="K31" i="2" s="1"/>
  <c r="S76" i="4" s="1"/>
  <c r="AH206" i="1"/>
  <c r="A2" i="6"/>
  <c r="F4"/>
  <c r="H4"/>
  <c r="AH4" s="1"/>
  <c r="K4"/>
  <c r="Y4" s="1"/>
  <c r="AJ4" s="1"/>
  <c r="M10" i="4" l="1"/>
  <c r="O16" i="3"/>
  <c r="N91" i="4" l="1"/>
  <c r="AF45" i="6" l="1"/>
  <c r="AG45"/>
  <c r="AH45"/>
  <c r="AJ45"/>
  <c r="AK45"/>
  <c r="AN45"/>
  <c r="AF44"/>
  <c r="AG44"/>
  <c r="AH44"/>
  <c r="AJ44"/>
  <c r="AK44"/>
  <c r="AN44"/>
  <c r="AF52" l="1"/>
  <c r="AG52"/>
  <c r="AH52"/>
  <c r="AJ52"/>
  <c r="AK52"/>
  <c r="AN52"/>
  <c r="AF51"/>
  <c r="AG51"/>
  <c r="AH51"/>
  <c r="AJ51"/>
  <c r="AK51"/>
  <c r="AN51"/>
  <c r="AN29"/>
  <c r="AK29"/>
  <c r="AJ29"/>
  <c r="AH29"/>
  <c r="AG29"/>
  <c r="AF29"/>
  <c r="AN28"/>
  <c r="AK28"/>
  <c r="AJ28"/>
  <c r="AH28"/>
  <c r="AG28"/>
  <c r="AF28"/>
  <c r="AN27"/>
  <c r="AK27"/>
  <c r="AJ27"/>
  <c r="AH27"/>
  <c r="AG27"/>
  <c r="AF27"/>
  <c r="AI206" i="1" l="1"/>
  <c r="P45"/>
  <c r="AW206" s="1"/>
  <c r="I28" i="2" l="1"/>
  <c r="G28"/>
  <c r="AK205" i="1"/>
  <c r="AI205"/>
  <c r="AJ205"/>
  <c r="AJ207"/>
  <c r="AK207"/>
  <c r="AI207"/>
  <c r="AJ206"/>
  <c r="AK206"/>
  <c r="AJ208"/>
  <c r="AK208"/>
  <c r="AI208"/>
  <c r="M16" i="4"/>
  <c r="M9"/>
  <c r="O18" i="3"/>
  <c r="AU206" i="1" l="1"/>
  <c r="F29" i="2" s="1"/>
  <c r="M74" i="4" s="1"/>
  <c r="BN205" i="1"/>
  <c r="AU205"/>
  <c r="F28" i="2" s="1"/>
  <c r="M73" i="4" s="1"/>
  <c r="I29" i="2"/>
  <c r="P46" i="1"/>
  <c r="G29" i="2"/>
  <c r="K46" i="1"/>
  <c r="AU207"/>
  <c r="F30" i="2" s="1"/>
  <c r="M75" i="4" s="1"/>
  <c r="BN207" i="1"/>
  <c r="AU208"/>
  <c r="BN208"/>
  <c r="BN206"/>
  <c r="BF205"/>
  <c r="AK53" i="6"/>
  <c r="AJ53"/>
  <c r="AH53"/>
  <c r="AG53"/>
  <c r="AF53"/>
  <c r="AK46"/>
  <c r="AJ46"/>
  <c r="AH46"/>
  <c r="AG46"/>
  <c r="AF46"/>
  <c r="AR216" i="1"/>
  <c r="AR217" s="1"/>
  <c r="AR218" s="1"/>
  <c r="AR219" s="1"/>
  <c r="AR220" s="1"/>
  <c r="AR221" s="1"/>
  <c r="AR222" s="1"/>
  <c r="AR223" s="1"/>
  <c r="AR224" s="1"/>
  <c r="AR225" s="1"/>
  <c r="AR226" s="1"/>
  <c r="AR227" s="1"/>
  <c r="AR228" s="1"/>
  <c r="AR229" s="1"/>
  <c r="AR230" s="1"/>
  <c r="AR231" s="1"/>
  <c r="AR232" s="1"/>
  <c r="AR233" s="1"/>
  <c r="AR234" s="1"/>
  <c r="AR235" s="1"/>
  <c r="AR236" s="1"/>
  <c r="AR237" s="1"/>
  <c r="AR238" s="1"/>
  <c r="AR239" s="1"/>
  <c r="AR240" s="1"/>
  <c r="AR241" s="1"/>
  <c r="AR242" s="1"/>
  <c r="AR243" s="1"/>
  <c r="AR244" s="1"/>
  <c r="AR245" s="1"/>
  <c r="AR246" s="1"/>
  <c r="AR247" s="1"/>
  <c r="AR248" s="1"/>
  <c r="AR249" s="1"/>
  <c r="AR250" s="1"/>
  <c r="AR251" s="1"/>
  <c r="AR252" s="1"/>
  <c r="AR253" s="1"/>
  <c r="AR254" s="1"/>
  <c r="AR255" s="1"/>
  <c r="AR256" s="1"/>
  <c r="AR257" s="1"/>
  <c r="AR258" s="1"/>
  <c r="AR259" s="1"/>
  <c r="AR260" s="1"/>
  <c r="AR261" s="1"/>
  <c r="AR262" s="1"/>
  <c r="AR263" s="1"/>
  <c r="AR264" s="1"/>
  <c r="AR265" s="1"/>
  <c r="AR266" s="1"/>
  <c r="AR267" s="1"/>
  <c r="AR268" s="1"/>
  <c r="AR269" s="1"/>
  <c r="AR270" s="1"/>
  <c r="AR271" s="1"/>
  <c r="AR272" s="1"/>
  <c r="AR273" s="1"/>
  <c r="AR274" s="1"/>
  <c r="AR275" s="1"/>
  <c r="AR276" s="1"/>
  <c r="AR277" s="1"/>
  <c r="AR278" s="1"/>
  <c r="AR279" s="1"/>
  <c r="AR280" s="1"/>
  <c r="AR281" s="1"/>
  <c r="AR282" s="1"/>
  <c r="AR283" s="1"/>
  <c r="AR284" s="1"/>
  <c r="AR285" s="1"/>
  <c r="AR286" s="1"/>
  <c r="AT217"/>
  <c r="AT249"/>
  <c r="AM171"/>
  <c r="BT205" l="1"/>
  <c r="BT206"/>
  <c r="BT213" s="1"/>
  <c r="P47"/>
  <c r="I30" i="2"/>
  <c r="K47" i="1"/>
  <c r="G30" i="2"/>
  <c r="F31"/>
  <c r="M76" i="4" s="1"/>
  <c r="BN287" i="1"/>
  <c r="BN288"/>
  <c r="BN289"/>
  <c r="BN290"/>
  <c r="BN291"/>
  <c r="BN292"/>
  <c r="BN293"/>
  <c r="BN294"/>
  <c r="BN295"/>
  <c r="BM287"/>
  <c r="BM288"/>
  <c r="BM289"/>
  <c r="BM290"/>
  <c r="BM291"/>
  <c r="BM292"/>
  <c r="BM293"/>
  <c r="BM294"/>
  <c r="BM295"/>
  <c r="BT212" l="1"/>
  <c r="P48"/>
  <c r="I31" i="2"/>
  <c r="K48" i="1"/>
  <c r="G31" i="2"/>
  <c r="AX213" i="1"/>
  <c r="AJ294"/>
  <c r="AJ293"/>
  <c r="AK294"/>
  <c r="AK293"/>
  <c r="BD213"/>
  <c r="BF211"/>
  <c r="BF212" s="1"/>
  <c r="BE211"/>
  <c r="BE212" s="1"/>
  <c r="CJ148"/>
  <c r="M41" i="4" s="1"/>
  <c r="B19" i="2" s="1"/>
  <c r="CJ112" i="1"/>
  <c r="M20" i="4" s="1"/>
  <c r="AT215" i="1"/>
  <c r="X51" i="6" l="1"/>
  <c r="P51"/>
  <c r="E51"/>
  <c r="C51"/>
  <c r="Q57"/>
  <c r="J57"/>
  <c r="A51"/>
  <c r="A57"/>
  <c r="Q51"/>
  <c r="J51"/>
  <c r="C57"/>
  <c r="X57"/>
  <c r="P57"/>
  <c r="E57"/>
  <c r="AE57" s="1"/>
  <c r="K49" i="1"/>
  <c r="G32" i="2"/>
  <c r="P49" i="1"/>
  <c r="I32" i="2"/>
  <c r="BJ213" i="1"/>
  <c r="BE213"/>
  <c r="BI213"/>
  <c r="AK297"/>
  <c r="AR294"/>
  <c r="AL296"/>
  <c r="AK296"/>
  <c r="AR293"/>
  <c r="AL297"/>
  <c r="AZ218"/>
  <c r="AY213"/>
  <c r="AZ221" s="1"/>
  <c r="AZ217"/>
  <c r="BG213"/>
  <c r="AX214"/>
  <c r="BA214" s="1"/>
  <c r="C8" i="5"/>
  <c r="B8"/>
  <c r="N93" i="4"/>
  <c r="N92"/>
  <c r="R55"/>
  <c r="M54"/>
  <c r="M53"/>
  <c r="M59"/>
  <c r="M27"/>
  <c r="M23"/>
  <c r="M22"/>
  <c r="Q12"/>
  <c r="M12"/>
  <c r="D16" i="3"/>
  <c r="D15"/>
  <c r="K33" i="2"/>
  <c r="T78" i="4" s="1"/>
  <c r="AM116" i="1"/>
  <c r="AM114"/>
  <c r="A2" i="2"/>
  <c r="A1"/>
  <c r="AT285" i="1"/>
  <c r="AT286"/>
  <c r="A59" i="6" l="1"/>
  <c r="J59"/>
  <c r="R57"/>
  <c r="AD57" s="1"/>
  <c r="N57"/>
  <c r="AI57"/>
  <c r="M36" i="4"/>
  <c r="I22" i="2" s="1"/>
  <c r="M33" i="4"/>
  <c r="AX215" i="1"/>
  <c r="AZ214"/>
  <c r="AX217"/>
  <c r="M49" i="4"/>
  <c r="M56" s="1"/>
  <c r="I20" i="2"/>
  <c r="AZ216" i="1"/>
  <c r="AZ219"/>
  <c r="BK213"/>
  <c r="V4" i="6"/>
  <c r="BD215" i="1"/>
  <c r="BH215" s="1"/>
  <c r="BD286"/>
  <c r="BD285"/>
  <c r="AT216"/>
  <c r="AT218"/>
  <c r="AT219"/>
  <c r="AT220"/>
  <c r="AT221"/>
  <c r="AT222"/>
  <c r="AT223"/>
  <c r="AT224"/>
  <c r="AT225"/>
  <c r="AT226"/>
  <c r="AT227"/>
  <c r="AT228"/>
  <c r="AT229"/>
  <c r="AT230"/>
  <c r="AT231"/>
  <c r="AT232"/>
  <c r="AT233"/>
  <c r="AT234"/>
  <c r="AT235"/>
  <c r="AT236"/>
  <c r="AT237"/>
  <c r="AT238"/>
  <c r="AT239"/>
  <c r="AT240"/>
  <c r="AT241"/>
  <c r="AT242"/>
  <c r="AT243"/>
  <c r="AT244"/>
  <c r="AT245"/>
  <c r="AT246"/>
  <c r="AT247"/>
  <c r="AT248"/>
  <c r="A53" i="6" s="1"/>
  <c r="AT250" i="1"/>
  <c r="AT251"/>
  <c r="AT252"/>
  <c r="AT253"/>
  <c r="AT254"/>
  <c r="AT255"/>
  <c r="AT256"/>
  <c r="AT257"/>
  <c r="AT258"/>
  <c r="AT259"/>
  <c r="AT260"/>
  <c r="AT261"/>
  <c r="AT262"/>
  <c r="AT263"/>
  <c r="AT264"/>
  <c r="AT265"/>
  <c r="AT266"/>
  <c r="AT267"/>
  <c r="AT268"/>
  <c r="AT269"/>
  <c r="AT270"/>
  <c r="AT271"/>
  <c r="AT272"/>
  <c r="AT273"/>
  <c r="AT274"/>
  <c r="AT275"/>
  <c r="AT276"/>
  <c r="AT277"/>
  <c r="AT278"/>
  <c r="AT279"/>
  <c r="AT280"/>
  <c r="AT281"/>
  <c r="AT282"/>
  <c r="AT283"/>
  <c r="AT284"/>
  <c r="AB57" i="6" l="1"/>
  <c r="AM57"/>
  <c r="AP57" s="1"/>
  <c r="BB214" i="1"/>
  <c r="A17" i="2" s="1"/>
  <c r="AX216" i="1"/>
  <c r="D29" i="6"/>
  <c r="S29" s="1"/>
  <c r="BD227" i="1"/>
  <c r="AX219"/>
  <c r="AX218"/>
  <c r="AX285"/>
  <c r="AX286"/>
  <c r="BA216"/>
  <c r="BA219"/>
  <c r="BA220"/>
  <c r="BA222"/>
  <c r="BA217"/>
  <c r="BA218"/>
  <c r="BA221"/>
  <c r="BA215"/>
  <c r="BA285"/>
  <c r="BA286"/>
  <c r="BA281"/>
  <c r="BA273"/>
  <c r="BA269"/>
  <c r="BA261"/>
  <c r="BA257"/>
  <c r="BA253"/>
  <c r="BA244"/>
  <c r="BA240"/>
  <c r="BA232"/>
  <c r="BA228"/>
  <c r="BA224"/>
  <c r="BA277"/>
  <c r="BA265"/>
  <c r="BA223"/>
  <c r="BA249"/>
  <c r="BA284"/>
  <c r="BA280"/>
  <c r="BA276"/>
  <c r="BA272"/>
  <c r="BA268"/>
  <c r="BA264"/>
  <c r="BA260"/>
  <c r="BA256"/>
  <c r="BA252"/>
  <c r="BA247"/>
  <c r="BA243"/>
  <c r="BA239"/>
  <c r="BA235"/>
  <c r="BA231"/>
  <c r="BA283"/>
  <c r="BA279"/>
  <c r="BA271"/>
  <c r="BA263"/>
  <c r="BA255"/>
  <c r="BA251"/>
  <c r="BA246"/>
  <c r="BA242"/>
  <c r="BA238"/>
  <c r="BA234"/>
  <c r="BA230"/>
  <c r="BA226"/>
  <c r="BA275"/>
  <c r="BA267"/>
  <c r="BA259"/>
  <c r="BA225"/>
  <c r="M55" i="4"/>
  <c r="I21" i="2"/>
  <c r="I23" s="1"/>
  <c r="BA282" i="1"/>
  <c r="BA278"/>
  <c r="BA274"/>
  <c r="BA270"/>
  <c r="BA266"/>
  <c r="BA262"/>
  <c r="BA258"/>
  <c r="BA254"/>
  <c r="BA245"/>
  <c r="BA241"/>
  <c r="BA237"/>
  <c r="BA233"/>
  <c r="BA229"/>
  <c r="A46" i="6"/>
  <c r="BA227" i="1"/>
  <c r="BA250"/>
  <c r="A29" i="6"/>
  <c r="D46"/>
  <c r="S46" s="1"/>
  <c r="D53"/>
  <c r="S53" s="1"/>
  <c r="BA248" i="1"/>
  <c r="BA236"/>
  <c r="AM294"/>
  <c r="AT293"/>
  <c r="AT294"/>
  <c r="AM293"/>
  <c r="AX277"/>
  <c r="BD277"/>
  <c r="AX269"/>
  <c r="BD269"/>
  <c r="AX265"/>
  <c r="BD265"/>
  <c r="AX261"/>
  <c r="BD261"/>
  <c r="AX257"/>
  <c r="BD257"/>
  <c r="AX253"/>
  <c r="BD253"/>
  <c r="AX249"/>
  <c r="BD249"/>
  <c r="AX245"/>
  <c r="BD245"/>
  <c r="AX241"/>
  <c r="BD241"/>
  <c r="AX237"/>
  <c r="BD237"/>
  <c r="AX233"/>
  <c r="BD233"/>
  <c r="AX229"/>
  <c r="BD229"/>
  <c r="AX225"/>
  <c r="BD225"/>
  <c r="AX221"/>
  <c r="BD221"/>
  <c r="BD217"/>
  <c r="AX281"/>
  <c r="BD281"/>
  <c r="AX284"/>
  <c r="BD284"/>
  <c r="AX280"/>
  <c r="BD280"/>
  <c r="AX276"/>
  <c r="BD276"/>
  <c r="AX272"/>
  <c r="BD272"/>
  <c r="AX268"/>
  <c r="BD268"/>
  <c r="AX264"/>
  <c r="BD264"/>
  <c r="AX260"/>
  <c r="BD260"/>
  <c r="AX256"/>
  <c r="BD256"/>
  <c r="AX252"/>
  <c r="BD252"/>
  <c r="AX248"/>
  <c r="BD248"/>
  <c r="AX244"/>
  <c r="BD244"/>
  <c r="AX240"/>
  <c r="BD240"/>
  <c r="AX236"/>
  <c r="BD236"/>
  <c r="AX232"/>
  <c r="BD232"/>
  <c r="AX228"/>
  <c r="BD228"/>
  <c r="AX224"/>
  <c r="BD224"/>
  <c r="AX220"/>
  <c r="BD220"/>
  <c r="BD216"/>
  <c r="AX282"/>
  <c r="BD282"/>
  <c r="AX273"/>
  <c r="BD273"/>
  <c r="AX283"/>
  <c r="BD283"/>
  <c r="AX279"/>
  <c r="BD279"/>
  <c r="AX275"/>
  <c r="BD275"/>
  <c r="AX271"/>
  <c r="BD271"/>
  <c r="AX267"/>
  <c r="BD267"/>
  <c r="AX263"/>
  <c r="BD263"/>
  <c r="AX259"/>
  <c r="BD259"/>
  <c r="AX255"/>
  <c r="BD255"/>
  <c r="AX251"/>
  <c r="BD251"/>
  <c r="AX247"/>
  <c r="BD247"/>
  <c r="AX243"/>
  <c r="BD243"/>
  <c r="AX239"/>
  <c r="BD239"/>
  <c r="AX235"/>
  <c r="BD235"/>
  <c r="AX231"/>
  <c r="BD231"/>
  <c r="AX227"/>
  <c r="AX223"/>
  <c r="BD223"/>
  <c r="BD219"/>
  <c r="AX278"/>
  <c r="BD278"/>
  <c r="AX274"/>
  <c r="BD274"/>
  <c r="AX270"/>
  <c r="BD270"/>
  <c r="AX266"/>
  <c r="BD266"/>
  <c r="AX262"/>
  <c r="BD262"/>
  <c r="AX258"/>
  <c r="BD258"/>
  <c r="AX254"/>
  <c r="BD254"/>
  <c r="AX250"/>
  <c r="BD250"/>
  <c r="AX246"/>
  <c r="BD246"/>
  <c r="AX242"/>
  <c r="BD242"/>
  <c r="AX238"/>
  <c r="BD238"/>
  <c r="AX234"/>
  <c r="BD234"/>
  <c r="AX230"/>
  <c r="BD230"/>
  <c r="AX226"/>
  <c r="BD226"/>
  <c r="AX222"/>
  <c r="BD222"/>
  <c r="BD218"/>
  <c r="AN216"/>
  <c r="AN217" s="1"/>
  <c r="AN218" s="1"/>
  <c r="AN219" s="1"/>
  <c r="AN220" s="1"/>
  <c r="AN221" s="1"/>
  <c r="AN222" s="1"/>
  <c r="AN223" s="1"/>
  <c r="AN224" s="1"/>
  <c r="AN225" s="1"/>
  <c r="AN226" s="1"/>
  <c r="AN227" s="1"/>
  <c r="AN228" s="1"/>
  <c r="AN229" s="1"/>
  <c r="AN230" s="1"/>
  <c r="AN231" s="1"/>
  <c r="AN232" s="1"/>
  <c r="AN233" s="1"/>
  <c r="AN234" s="1"/>
  <c r="AN235" s="1"/>
  <c r="AN236" s="1"/>
  <c r="AN237" s="1"/>
  <c r="AN238" s="1"/>
  <c r="AN239" s="1"/>
  <c r="AN240" s="1"/>
  <c r="AN241" s="1"/>
  <c r="AN242" s="1"/>
  <c r="AN243" s="1"/>
  <c r="AN244" s="1"/>
  <c r="AN245" s="1"/>
  <c r="AN246" s="1"/>
  <c r="AN247" s="1"/>
  <c r="AN248" s="1"/>
  <c r="AN249" s="1"/>
  <c r="AN250" s="1"/>
  <c r="AN251" s="1"/>
  <c r="AN252" s="1"/>
  <c r="AN253" s="1"/>
  <c r="AN254" s="1"/>
  <c r="AN255" s="1"/>
  <c r="AN256" s="1"/>
  <c r="AN257" s="1"/>
  <c r="AN258" s="1"/>
  <c r="AN259" s="1"/>
  <c r="AN260" s="1"/>
  <c r="AN261" s="1"/>
  <c r="AN262" s="1"/>
  <c r="AN263" s="1"/>
  <c r="AN264" s="1"/>
  <c r="AN265" s="1"/>
  <c r="AN266" s="1"/>
  <c r="AN267" s="1"/>
  <c r="AN268" s="1"/>
  <c r="AN269" s="1"/>
  <c r="AN270" s="1"/>
  <c r="AN271" s="1"/>
  <c r="AN272" s="1"/>
  <c r="AN273" s="1"/>
  <c r="AN274" s="1"/>
  <c r="AN275" s="1"/>
  <c r="AN276" s="1"/>
  <c r="AN277" s="1"/>
  <c r="AN278" s="1"/>
  <c r="AN279" s="1"/>
  <c r="AN280" s="1"/>
  <c r="AN281" s="1"/>
  <c r="AN282" s="1"/>
  <c r="AN283" s="1"/>
  <c r="AN284" s="1"/>
  <c r="AN285" s="1"/>
  <c r="AN286" s="1"/>
  <c r="AN294" l="1"/>
  <c r="AN293"/>
  <c r="AU293"/>
  <c r="AU294"/>
  <c r="AK199"/>
  <c r="AM199" s="1"/>
  <c r="K20" l="1"/>
  <c r="AK134"/>
  <c r="AK130"/>
  <c r="AK126"/>
  <c r="AK123"/>
  <c r="AK124"/>
  <c r="AK131"/>
  <c r="AK133"/>
  <c r="AK129"/>
  <c r="AK125"/>
  <c r="AK128"/>
  <c r="AK132"/>
  <c r="AK127"/>
  <c r="AO55" i="6"/>
  <c r="AW209" i="1"/>
  <c r="AW205"/>
  <c r="AN205"/>
  <c r="BB207" l="1"/>
  <c r="BA206"/>
  <c r="BB205"/>
  <c r="AS205"/>
  <c r="AK203"/>
  <c r="BR205" l="1"/>
  <c r="BI205"/>
  <c r="AN203"/>
  <c r="AT204"/>
  <c r="AP204" s="1"/>
  <c r="AQ205" s="1"/>
  <c r="BC204"/>
  <c r="AM216"/>
  <c r="B7" i="6" s="1"/>
  <c r="AM217" i="1"/>
  <c r="B8" i="6" s="1"/>
  <c r="AM218" i="1"/>
  <c r="B9" i="6" s="1"/>
  <c r="AM219" i="1"/>
  <c r="B10" i="6" s="1"/>
  <c r="AM220" i="1"/>
  <c r="B11" i="6" s="1"/>
  <c r="AM221" i="1"/>
  <c r="B12" i="6" s="1"/>
  <c r="AM222" i="1"/>
  <c r="B13" i="6" s="1"/>
  <c r="AM223" i="1"/>
  <c r="B14" i="6" s="1"/>
  <c r="AM224" i="1"/>
  <c r="B15" i="6" s="1"/>
  <c r="AM225" i="1"/>
  <c r="B16" i="6" s="1"/>
  <c r="AM226" i="1"/>
  <c r="B17" i="6" s="1"/>
  <c r="AM227" i="1"/>
  <c r="B18" i="6" s="1"/>
  <c r="AM228" i="1"/>
  <c r="B19" i="6" s="1"/>
  <c r="AM229" i="1"/>
  <c r="B20" i="6" s="1"/>
  <c r="AM230" i="1"/>
  <c r="B21" i="6" s="1"/>
  <c r="AM231" i="1"/>
  <c r="B22" i="6" s="1"/>
  <c r="AM232" i="1"/>
  <c r="B23" i="6" s="1"/>
  <c r="AM233" i="1"/>
  <c r="B24" i="6" s="1"/>
  <c r="AM234" i="1"/>
  <c r="B25" i="6" s="1"/>
  <c r="AM235" i="1"/>
  <c r="B26" i="6" s="1"/>
  <c r="AM236" i="1"/>
  <c r="B32" i="6" s="1"/>
  <c r="AM237" i="1"/>
  <c r="B33" i="6" s="1"/>
  <c r="AM238" i="1"/>
  <c r="B34" i="6" s="1"/>
  <c r="AM239" i="1"/>
  <c r="B35" i="6" s="1"/>
  <c r="AM240" i="1"/>
  <c r="B36" i="6" s="1"/>
  <c r="AM241" i="1"/>
  <c r="B37" i="6" s="1"/>
  <c r="AM242" i="1"/>
  <c r="B38" i="6" s="1"/>
  <c r="AM243" i="1"/>
  <c r="B39" i="6" s="1"/>
  <c r="AM244" i="1"/>
  <c r="B40" i="6" s="1"/>
  <c r="AM245" i="1"/>
  <c r="B41" i="6" s="1"/>
  <c r="AM246" i="1"/>
  <c r="B42" i="6" s="1"/>
  <c r="AM247" i="1"/>
  <c r="B43" i="6" s="1"/>
  <c r="AM248" i="1"/>
  <c r="B49" i="6" s="1"/>
  <c r="AM249" i="1"/>
  <c r="B50" i="6" s="1"/>
  <c r="AM250" i="1"/>
  <c r="B55" i="6" s="1"/>
  <c r="AM251" i="1"/>
  <c r="AM252"/>
  <c r="AM253"/>
  <c r="AM254"/>
  <c r="AM255"/>
  <c r="AM256"/>
  <c r="AM257"/>
  <c r="AM258"/>
  <c r="AM259"/>
  <c r="AM260"/>
  <c r="AM261"/>
  <c r="AM262"/>
  <c r="AM263"/>
  <c r="AM264"/>
  <c r="AM265"/>
  <c r="AM266"/>
  <c r="AM267"/>
  <c r="AM268"/>
  <c r="AM215"/>
  <c r="AI216"/>
  <c r="AI217" s="1"/>
  <c r="AI218" s="1"/>
  <c r="AI219" s="1"/>
  <c r="AI220" s="1"/>
  <c r="AI221" s="1"/>
  <c r="AI222" s="1"/>
  <c r="AI223" s="1"/>
  <c r="AI224" s="1"/>
  <c r="AI225" s="1"/>
  <c r="AI226" s="1"/>
  <c r="AI227" s="1"/>
  <c r="AI228" s="1"/>
  <c r="AI229" s="1"/>
  <c r="AI230" s="1"/>
  <c r="AI231" s="1"/>
  <c r="AI232" s="1"/>
  <c r="AI233" s="1"/>
  <c r="AI234" s="1"/>
  <c r="AI235" s="1"/>
  <c r="AI236" s="1"/>
  <c r="AI237" s="1"/>
  <c r="AI238" s="1"/>
  <c r="AI239" s="1"/>
  <c r="AI240" s="1"/>
  <c r="AI241" s="1"/>
  <c r="AI242" s="1"/>
  <c r="AI243" s="1"/>
  <c r="AI244" s="1"/>
  <c r="AI245" s="1"/>
  <c r="AI246" s="1"/>
  <c r="AI247" s="1"/>
  <c r="AI248" s="1"/>
  <c r="AI249" s="1"/>
  <c r="AI250" s="1"/>
  <c r="AI251" s="1"/>
  <c r="AI252" s="1"/>
  <c r="AI253" s="1"/>
  <c r="AI254" s="1"/>
  <c r="AI255" s="1"/>
  <c r="AI256" s="1"/>
  <c r="AI257" s="1"/>
  <c r="AI258" s="1"/>
  <c r="AI259" s="1"/>
  <c r="AI260" s="1"/>
  <c r="AI261" s="1"/>
  <c r="AI262" s="1"/>
  <c r="AI263" s="1"/>
  <c r="AI264" s="1"/>
  <c r="AI265" s="1"/>
  <c r="AI266" s="1"/>
  <c r="AI267" s="1"/>
  <c r="AI268" s="1"/>
  <c r="AI269" s="1"/>
  <c r="AI270" s="1"/>
  <c r="AI271" s="1"/>
  <c r="AI272" s="1"/>
  <c r="AI273" s="1"/>
  <c r="AI274" s="1"/>
  <c r="AI275" s="1"/>
  <c r="AI276" s="1"/>
  <c r="AI277" s="1"/>
  <c r="AI278" s="1"/>
  <c r="AI279" s="1"/>
  <c r="AI280" s="1"/>
  <c r="AI281" s="1"/>
  <c r="AI282" s="1"/>
  <c r="AI283" s="1"/>
  <c r="AL303" l="1"/>
  <c r="AM204"/>
  <c r="B56" i="6"/>
  <c r="M44" i="4"/>
  <c r="R49" s="1"/>
  <c r="R56" s="1"/>
  <c r="AY205" i="1"/>
  <c r="AY204"/>
  <c r="AZ205" s="1"/>
  <c r="AK209"/>
  <c r="AJ209"/>
  <c r="AI209"/>
  <c r="AI210"/>
  <c r="AJ210"/>
  <c r="AK210"/>
  <c r="BO205"/>
  <c r="BQ205"/>
  <c r="BP205"/>
  <c r="BM210"/>
  <c r="BF210"/>
  <c r="BJ210"/>
  <c r="BK210"/>
  <c r="BL210"/>
  <c r="AO205"/>
  <c r="AT205" s="1"/>
  <c r="AR205"/>
  <c r="BG205"/>
  <c r="BF206"/>
  <c r="AS206"/>
  <c r="B6" i="6"/>
  <c r="AV203" i="1"/>
  <c r="AW207"/>
  <c r="AK200" l="1"/>
  <c r="AM200" s="1"/>
  <c r="AP199" s="1"/>
  <c r="B4" i="3" s="1"/>
  <c r="AL200" i="1"/>
  <c r="I24" i="2"/>
  <c r="M65" i="4"/>
  <c r="AU210" i="1"/>
  <c r="BN209"/>
  <c r="BT207" s="1"/>
  <c r="BT214" s="1"/>
  <c r="BT215" s="1"/>
  <c r="AU209"/>
  <c r="H28" i="2"/>
  <c r="BO206" i="1"/>
  <c r="N44"/>
  <c r="BH205"/>
  <c r="BL205" s="1"/>
  <c r="BK205"/>
  <c r="BM205"/>
  <c r="BP206"/>
  <c r="BR206"/>
  <c r="BQ206"/>
  <c r="BA205"/>
  <c r="AX205"/>
  <c r="BC205" s="1"/>
  <c r="AY206" s="1"/>
  <c r="AZ207" s="1"/>
  <c r="BB206"/>
  <c r="BG206"/>
  <c r="BH206" s="1"/>
  <c r="BI206"/>
  <c r="BB210"/>
  <c r="BN210"/>
  <c r="AU204"/>
  <c r="BF207"/>
  <c r="BF208"/>
  <c r="AL210"/>
  <c r="AM210" s="1"/>
  <c r="AL209"/>
  <c r="AM209" s="1"/>
  <c r="AW210"/>
  <c r="AW208"/>
  <c r="AO198" l="1"/>
  <c r="A52" i="6"/>
  <c r="A58"/>
  <c r="X58"/>
  <c r="J58"/>
  <c r="Q58"/>
  <c r="E58"/>
  <c r="AE58" s="1"/>
  <c r="P58"/>
  <c r="C58"/>
  <c r="F32" i="2"/>
  <c r="M77" i="4" s="1"/>
  <c r="BF209" i="1"/>
  <c r="AV215"/>
  <c r="AU218"/>
  <c r="AZ206"/>
  <c r="B21"/>
  <c r="BJ205"/>
  <c r="AX206"/>
  <c r="S44"/>
  <c r="J28" i="2" s="1"/>
  <c r="P73" i="4" s="1"/>
  <c r="BK206" i="1"/>
  <c r="BM206"/>
  <c r="BA207"/>
  <c r="BO208"/>
  <c r="BQ208"/>
  <c r="BP208"/>
  <c r="BR208"/>
  <c r="BA210"/>
  <c r="BI207"/>
  <c r="BG207"/>
  <c r="BH207" s="1"/>
  <c r="BG210"/>
  <c r="BH210" s="1"/>
  <c r="BI210"/>
  <c r="BQ210"/>
  <c r="BO210"/>
  <c r="BR210"/>
  <c r="BP210"/>
  <c r="BP207"/>
  <c r="BO207"/>
  <c r="BQ207"/>
  <c r="BR207"/>
  <c r="BG208"/>
  <c r="BI208"/>
  <c r="BG209"/>
  <c r="BI209"/>
  <c r="BR209"/>
  <c r="BP209"/>
  <c r="BO209"/>
  <c r="BQ209"/>
  <c r="AU221"/>
  <c r="AU223"/>
  <c r="AU226"/>
  <c r="BH226" s="1"/>
  <c r="AV220"/>
  <c r="AV224"/>
  <c r="AU220"/>
  <c r="AV219"/>
  <c r="AV221"/>
  <c r="AV223"/>
  <c r="AV226"/>
  <c r="AV218"/>
  <c r="AU225"/>
  <c r="AU219"/>
  <c r="AV222"/>
  <c r="AV225"/>
  <c r="AU224"/>
  <c r="AU222"/>
  <c r="AV216"/>
  <c r="AU215"/>
  <c r="AY215" s="1"/>
  <c r="AU217"/>
  <c r="AV217"/>
  <c r="AU216"/>
  <c r="BH209" l="1"/>
  <c r="A16" i="2"/>
  <c r="BB216" i="1"/>
  <c r="C7" i="6"/>
  <c r="Z7" s="1"/>
  <c r="BB223" i="1"/>
  <c r="C14" i="6"/>
  <c r="BB224" i="1"/>
  <c r="C15" i="6"/>
  <c r="Z15" s="1"/>
  <c r="BB215" i="1"/>
  <c r="C6" i="6"/>
  <c r="Z6" s="1"/>
  <c r="BB222" i="1"/>
  <c r="C13" i="6"/>
  <c r="Z13" s="1"/>
  <c r="BB217" i="1"/>
  <c r="C8" i="6"/>
  <c r="BB221" i="1"/>
  <c r="C12" i="6"/>
  <c r="Z12" s="1"/>
  <c r="BB220" i="1"/>
  <c r="C11" i="6"/>
  <c r="BB226" i="1"/>
  <c r="C17" i="6"/>
  <c r="Z17" s="1"/>
  <c r="BB225" i="1"/>
  <c r="C16" i="6"/>
  <c r="BB218" i="1"/>
  <c r="C9" i="6"/>
  <c r="Z9" s="1"/>
  <c r="BB219" i="1"/>
  <c r="C10" i="6"/>
  <c r="AI58"/>
  <c r="N58"/>
  <c r="R58"/>
  <c r="AB58" s="1"/>
  <c r="M18" i="4"/>
  <c r="B18" i="2"/>
  <c r="BX205" i="1"/>
  <c r="AY224"/>
  <c r="BH224"/>
  <c r="BL219"/>
  <c r="AY216"/>
  <c r="BH216"/>
  <c r="BM215" s="1"/>
  <c r="BL216"/>
  <c r="AY225"/>
  <c r="BH225"/>
  <c r="BM225" s="1"/>
  <c r="BL223"/>
  <c r="AY220"/>
  <c r="BH220"/>
  <c r="AY218"/>
  <c r="BH218"/>
  <c r="AY219"/>
  <c r="BH219"/>
  <c r="BL220"/>
  <c r="BL215"/>
  <c r="BL218"/>
  <c r="BL224"/>
  <c r="AY221"/>
  <c r="BH221"/>
  <c r="AY223"/>
  <c r="BH223"/>
  <c r="BL217"/>
  <c r="BL225"/>
  <c r="AY217"/>
  <c r="BH217"/>
  <c r="AY222"/>
  <c r="BH222"/>
  <c r="BL222"/>
  <c r="BL226"/>
  <c r="BL221"/>
  <c r="BC206"/>
  <c r="AY207" s="1"/>
  <c r="A45" i="6"/>
  <c r="A44"/>
  <c r="BW205" i="1"/>
  <c r="CB206"/>
  <c r="BK207"/>
  <c r="A28" i="6"/>
  <c r="A27"/>
  <c r="BX206" i="1"/>
  <c r="BW206"/>
  <c r="CC206"/>
  <c r="BW207"/>
  <c r="BX207"/>
  <c r="CC205"/>
  <c r="CC207"/>
  <c r="CB205"/>
  <c r="CB207"/>
  <c r="BH208"/>
  <c r="AN206"/>
  <c r="AQ206" s="1"/>
  <c r="Z10" i="6" l="1"/>
  <c r="Z16"/>
  <c r="Z11"/>
  <c r="Z8"/>
  <c r="Z14"/>
  <c r="BN215" i="1"/>
  <c r="AD58" i="6"/>
  <c r="AM58" s="1"/>
  <c r="AP58" s="1"/>
  <c r="L6"/>
  <c r="BM219" i="1"/>
  <c r="L10" i="6" s="1"/>
  <c r="BM217" i="1"/>
  <c r="BM216"/>
  <c r="L7" i="6" s="1"/>
  <c r="BM218" i="1"/>
  <c r="L9" i="6" s="1"/>
  <c r="D15"/>
  <c r="S15" s="1"/>
  <c r="D7"/>
  <c r="S7" s="1"/>
  <c r="D9"/>
  <c r="D10"/>
  <c r="S10" s="1"/>
  <c r="D11"/>
  <c r="S11" s="1"/>
  <c r="D16"/>
  <c r="S16" s="1"/>
  <c r="D17"/>
  <c r="S17" s="1"/>
  <c r="D12"/>
  <c r="S12" s="1"/>
  <c r="D14"/>
  <c r="S14" s="1"/>
  <c r="D13"/>
  <c r="D8"/>
  <c r="S8" s="1"/>
  <c r="D6"/>
  <c r="S6" s="1"/>
  <c r="AV228" i="1"/>
  <c r="AV229"/>
  <c r="AV227"/>
  <c r="C18" i="6" s="1"/>
  <c r="BN217" i="1"/>
  <c r="BN221"/>
  <c r="BM223"/>
  <c r="L14" i="6" s="1"/>
  <c r="BN216" i="1"/>
  <c r="BN219"/>
  <c r="BM222"/>
  <c r="L13" i="6" s="1"/>
  <c r="AX207" i="1"/>
  <c r="BC207" s="1"/>
  <c r="AY208" s="1"/>
  <c r="AZ209" s="1"/>
  <c r="BN224"/>
  <c r="BN223"/>
  <c r="BN225"/>
  <c r="BN222"/>
  <c r="BM221"/>
  <c r="L12" i="6" s="1"/>
  <c r="BN218" i="1"/>
  <c r="BN220"/>
  <c r="BM220"/>
  <c r="L11" i="6" s="1"/>
  <c r="BM224" i="1"/>
  <c r="L15" i="6" s="1"/>
  <c r="BJ206" i="1"/>
  <c r="S45"/>
  <c r="J29" i="2" s="1"/>
  <c r="P74" i="4" s="1"/>
  <c r="BB208" i="1"/>
  <c r="AR206"/>
  <c r="AO206"/>
  <c r="AT206" s="1"/>
  <c r="E10" i="6"/>
  <c r="AE10" s="1"/>
  <c r="E12"/>
  <c r="AE12" s="1"/>
  <c r="E16"/>
  <c r="AE16" s="1"/>
  <c r="E17"/>
  <c r="AE17" s="1"/>
  <c r="E7"/>
  <c r="AE7" s="1"/>
  <c r="E13"/>
  <c r="AE13" s="1"/>
  <c r="E8"/>
  <c r="AE8" s="1"/>
  <c r="E9"/>
  <c r="AE9" s="1"/>
  <c r="E6"/>
  <c r="AE6" s="1"/>
  <c r="E11"/>
  <c r="AE11" s="1"/>
  <c r="E15"/>
  <c r="AE15" s="1"/>
  <c r="E14"/>
  <c r="AE14" s="1"/>
  <c r="P15"/>
  <c r="X15" s="1"/>
  <c r="V15"/>
  <c r="H15" s="1"/>
  <c r="J15"/>
  <c r="T15"/>
  <c r="F15" s="1"/>
  <c r="W15"/>
  <c r="I15"/>
  <c r="V8"/>
  <c r="H8" s="1"/>
  <c r="I8"/>
  <c r="P8"/>
  <c r="X8" s="1"/>
  <c r="W8"/>
  <c r="T8"/>
  <c r="F8" s="1"/>
  <c r="J8"/>
  <c r="W14"/>
  <c r="T14"/>
  <c r="F14" s="1"/>
  <c r="I14"/>
  <c r="P14"/>
  <c r="X14" s="1"/>
  <c r="J14"/>
  <c r="V14"/>
  <c r="H14" s="1"/>
  <c r="W9"/>
  <c r="V9"/>
  <c r="H9" s="1"/>
  <c r="P9"/>
  <c r="X9" s="1"/>
  <c r="J9"/>
  <c r="I9"/>
  <c r="T9"/>
  <c r="F9" s="1"/>
  <c r="J10"/>
  <c r="P10"/>
  <c r="X10" s="1"/>
  <c r="W10"/>
  <c r="V10"/>
  <c r="H10" s="1"/>
  <c r="I10"/>
  <c r="T10"/>
  <c r="F10" s="1"/>
  <c r="J12"/>
  <c r="P12"/>
  <c r="X12" s="1"/>
  <c r="V12"/>
  <c r="H12" s="1"/>
  <c r="W12"/>
  <c r="I12"/>
  <c r="T12"/>
  <c r="F12" s="1"/>
  <c r="I16"/>
  <c r="T16"/>
  <c r="F16" s="1"/>
  <c r="W16"/>
  <c r="P16"/>
  <c r="X16" s="1"/>
  <c r="J16"/>
  <c r="V16"/>
  <c r="H16" s="1"/>
  <c r="L16"/>
  <c r="P17"/>
  <c r="V17"/>
  <c r="H17" s="1"/>
  <c r="I17"/>
  <c r="T17"/>
  <c r="F17" s="1"/>
  <c r="W17"/>
  <c r="W7"/>
  <c r="V7"/>
  <c r="H7" s="1"/>
  <c r="P7"/>
  <c r="X7" s="1"/>
  <c r="J7"/>
  <c r="I7"/>
  <c r="T7"/>
  <c r="F7" s="1"/>
  <c r="W13"/>
  <c r="I13"/>
  <c r="T13"/>
  <c r="F13" s="1"/>
  <c r="P13"/>
  <c r="X13" s="1"/>
  <c r="J13"/>
  <c r="V13"/>
  <c r="H13" s="1"/>
  <c r="V6"/>
  <c r="H6" s="1"/>
  <c r="J6"/>
  <c r="P6"/>
  <c r="I6"/>
  <c r="T6"/>
  <c r="F6" s="1"/>
  <c r="W6"/>
  <c r="J11"/>
  <c r="P11"/>
  <c r="X11" s="1"/>
  <c r="T11"/>
  <c r="F11" s="1"/>
  <c r="W11"/>
  <c r="V11"/>
  <c r="H11" s="1"/>
  <c r="I11"/>
  <c r="AS207" i="1"/>
  <c r="AK140"/>
  <c r="AI9" i="6" l="1"/>
  <c r="AI8"/>
  <c r="AI15"/>
  <c r="AI11"/>
  <c r="AI12"/>
  <c r="AI16"/>
  <c r="AI10"/>
  <c r="AI14"/>
  <c r="AI7"/>
  <c r="X6"/>
  <c r="AI6" s="1"/>
  <c r="U6"/>
  <c r="G6" s="1"/>
  <c r="AI13"/>
  <c r="BB228" i="1"/>
  <c r="C19" i="6"/>
  <c r="BB229" i="1"/>
  <c r="C20" i="6"/>
  <c r="BB227" i="1"/>
  <c r="BL227"/>
  <c r="BN226" s="1"/>
  <c r="AZ208"/>
  <c r="AP206"/>
  <c r="BM207"/>
  <c r="Y6" i="6"/>
  <c r="K6" s="1"/>
  <c r="AJ6" s="1"/>
  <c r="AL6"/>
  <c r="Y9"/>
  <c r="Y7"/>
  <c r="AL7"/>
  <c r="Y12"/>
  <c r="Y11"/>
  <c r="AL13"/>
  <c r="Y13"/>
  <c r="K13" s="1"/>
  <c r="AJ13" s="1"/>
  <c r="Y16"/>
  <c r="AL10"/>
  <c r="Y10"/>
  <c r="AL14"/>
  <c r="Y14"/>
  <c r="K14" s="1"/>
  <c r="AJ14" s="1"/>
  <c r="AL17"/>
  <c r="Y17"/>
  <c r="Y8"/>
  <c r="K8" s="1"/>
  <c r="AJ8" s="1"/>
  <c r="AL8"/>
  <c r="Y15"/>
  <c r="AL11"/>
  <c r="AL9"/>
  <c r="AL16"/>
  <c r="Q16"/>
  <c r="Q13"/>
  <c r="Q17"/>
  <c r="AL15"/>
  <c r="Q15"/>
  <c r="AL12"/>
  <c r="Q12"/>
  <c r="Q14"/>
  <c r="BJ212" i="1"/>
  <c r="M57" i="4" s="1"/>
  <c r="R57" s="1"/>
  <c r="BJ207" i="1"/>
  <c r="BA208"/>
  <c r="BK208"/>
  <c r="AX208"/>
  <c r="AK13" i="6"/>
  <c r="S46" i="1"/>
  <c r="J30" i="2" s="1"/>
  <c r="P75" i="4" s="1"/>
  <c r="AF10" i="6"/>
  <c r="AH9"/>
  <c r="AF11"/>
  <c r="AF17"/>
  <c r="AK14"/>
  <c r="AH6"/>
  <c r="AH12"/>
  <c r="AF9"/>
  <c r="AF7"/>
  <c r="AH11"/>
  <c r="AH10"/>
  <c r="U15"/>
  <c r="AO15"/>
  <c r="AH7"/>
  <c r="AH17"/>
  <c r="AO17"/>
  <c r="U17"/>
  <c r="AH16"/>
  <c r="AO16"/>
  <c r="U16"/>
  <c r="S9"/>
  <c r="AF14"/>
  <c r="AH14"/>
  <c r="AF8"/>
  <c r="AH8"/>
  <c r="AK15"/>
  <c r="S13"/>
  <c r="AO12"/>
  <c r="U12"/>
  <c r="U11"/>
  <c r="Q11"/>
  <c r="AO11" s="1"/>
  <c r="Q6"/>
  <c r="AO6" s="1"/>
  <c r="AO13"/>
  <c r="U13"/>
  <c r="Q7"/>
  <c r="AO7" s="1"/>
  <c r="U7"/>
  <c r="AK7"/>
  <c r="AK16"/>
  <c r="AK12"/>
  <c r="Q9"/>
  <c r="AO9" s="1"/>
  <c r="U9"/>
  <c r="U14"/>
  <c r="AF15"/>
  <c r="AH15"/>
  <c r="AF16"/>
  <c r="AK11"/>
  <c r="AH13"/>
  <c r="AF13"/>
  <c r="AF12"/>
  <c r="AK10"/>
  <c r="U10"/>
  <c r="Q10"/>
  <c r="AK9"/>
  <c r="Q8"/>
  <c r="R8" s="1"/>
  <c r="U8"/>
  <c r="AK141" i="1"/>
  <c r="AK142" s="1"/>
  <c r="AK143" s="1"/>
  <c r="AK144" s="1"/>
  <c r="AK145" s="1"/>
  <c r="AK146" s="1"/>
  <c r="AK147" s="1"/>
  <c r="AK148" s="1"/>
  <c r="AK149" s="1"/>
  <c r="AK150" s="1"/>
  <c r="AK151" s="1"/>
  <c r="AK152" s="1"/>
  <c r="AK153" s="1"/>
  <c r="AK154" s="1"/>
  <c r="AK155" s="1"/>
  <c r="AK156" s="1"/>
  <c r="AK157" s="1"/>
  <c r="AK158" s="1"/>
  <c r="AK159" s="1"/>
  <c r="AK160" s="1"/>
  <c r="AK161" s="1"/>
  <c r="AK162" s="1"/>
  <c r="AK163" s="1"/>
  <c r="AK164" s="1"/>
  <c r="AK165" s="1"/>
  <c r="AK166" s="1"/>
  <c r="AK167" s="1"/>
  <c r="AK168" s="1"/>
  <c r="AK169" s="1"/>
  <c r="AN207"/>
  <c r="AQ207" l="1"/>
  <c r="N6" i="6"/>
  <c r="O6" s="1"/>
  <c r="L8"/>
  <c r="AK8" s="1"/>
  <c r="K17"/>
  <c r="AJ17" s="1"/>
  <c r="K11"/>
  <c r="AJ11" s="1"/>
  <c r="K16"/>
  <c r="AJ16" s="1"/>
  <c r="K12"/>
  <c r="AJ12" s="1"/>
  <c r="K10"/>
  <c r="AJ10" s="1"/>
  <c r="K7"/>
  <c r="AJ7" s="1"/>
  <c r="K15"/>
  <c r="AJ15" s="1"/>
  <c r="K9"/>
  <c r="AJ9" s="1"/>
  <c r="G12"/>
  <c r="G17"/>
  <c r="AG17" s="1"/>
  <c r="G14"/>
  <c r="N14" s="1"/>
  <c r="O14" s="1"/>
  <c r="G13"/>
  <c r="N13" s="1"/>
  <c r="O13" s="1"/>
  <c r="G16"/>
  <c r="G9"/>
  <c r="G15"/>
  <c r="G8"/>
  <c r="G10"/>
  <c r="G7"/>
  <c r="G11"/>
  <c r="D20"/>
  <c r="S20" s="1"/>
  <c r="D19"/>
  <c r="S19" s="1"/>
  <c r="D18"/>
  <c r="S18" s="1"/>
  <c r="AU227" i="1"/>
  <c r="AU228"/>
  <c r="AU229"/>
  <c r="E19" i="6"/>
  <c r="AE19" s="1"/>
  <c r="J19"/>
  <c r="T19"/>
  <c r="F19" s="1"/>
  <c r="I19"/>
  <c r="W19"/>
  <c r="V19"/>
  <c r="H19" s="1"/>
  <c r="J18"/>
  <c r="E18"/>
  <c r="AE18" s="1"/>
  <c r="V18"/>
  <c r="H18" s="1"/>
  <c r="W18"/>
  <c r="I18"/>
  <c r="T18"/>
  <c r="F18" s="1"/>
  <c r="E20"/>
  <c r="AE20" s="1"/>
  <c r="J20"/>
  <c r="I20"/>
  <c r="V20"/>
  <c r="H20" s="1"/>
  <c r="T20"/>
  <c r="F20" s="1"/>
  <c r="W20"/>
  <c r="BL206" i="1"/>
  <c r="H29" i="2"/>
  <c r="BC208" i="1"/>
  <c r="BB209" s="1"/>
  <c r="N45"/>
  <c r="AR207"/>
  <c r="AO207"/>
  <c r="AN209"/>
  <c r="AN210"/>
  <c r="R13" i="6"/>
  <c r="AB13" s="1"/>
  <c r="AC13" s="1"/>
  <c r="R11"/>
  <c r="AB11" s="1"/>
  <c r="AC11" s="1"/>
  <c r="AO8"/>
  <c r="R14"/>
  <c r="AD14" s="1"/>
  <c r="AO14"/>
  <c r="R10"/>
  <c r="AD10" s="1"/>
  <c r="AO10"/>
  <c r="AO18"/>
  <c r="AB8"/>
  <c r="AC8" s="1"/>
  <c r="R7"/>
  <c r="AB7" s="1"/>
  <c r="AC7" s="1"/>
  <c r="R17"/>
  <c r="AD17" s="1"/>
  <c r="AD8"/>
  <c r="R15"/>
  <c r="AD15" s="1"/>
  <c r="R9"/>
  <c r="R12"/>
  <c r="R16"/>
  <c r="R6"/>
  <c r="AL207" i="1"/>
  <c r="AM207" s="1"/>
  <c r="AN208"/>
  <c r="AL208"/>
  <c r="AM208" s="1"/>
  <c r="AL206"/>
  <c r="AM206" s="1"/>
  <c r="AL205"/>
  <c r="AM205" s="1"/>
  <c r="BH194"/>
  <c r="BH193"/>
  <c r="BH192"/>
  <c r="BH191"/>
  <c r="BH190"/>
  <c r="BH189"/>
  <c r="BH188"/>
  <c r="BH187"/>
  <c r="BH186"/>
  <c r="BH185"/>
  <c r="BH184"/>
  <c r="BH183"/>
  <c r="BH182"/>
  <c r="BH181"/>
  <c r="BH180"/>
  <c r="BH179"/>
  <c r="BH178"/>
  <c r="BH177"/>
  <c r="BH176"/>
  <c r="BH175"/>
  <c r="BH174"/>
  <c r="BH173"/>
  <c r="BH172"/>
  <c r="BH171"/>
  <c r="BH170"/>
  <c r="BH169"/>
  <c r="BH168"/>
  <c r="BH167"/>
  <c r="BH166"/>
  <c r="BH165"/>
  <c r="BH164"/>
  <c r="BH163"/>
  <c r="BH162"/>
  <c r="BH161"/>
  <c r="BH160"/>
  <c r="BH159"/>
  <c r="BH158"/>
  <c r="BH157"/>
  <c r="BH156"/>
  <c r="BH155"/>
  <c r="BH154"/>
  <c r="BH153"/>
  <c r="BH152"/>
  <c r="BH151"/>
  <c r="BH150"/>
  <c r="BH149"/>
  <c r="BH148"/>
  <c r="BH147"/>
  <c r="BH146"/>
  <c r="BH145"/>
  <c r="BH144"/>
  <c r="BH143"/>
  <c r="BH142"/>
  <c r="BH141"/>
  <c r="BH140"/>
  <c r="BH139"/>
  <c r="BH138"/>
  <c r="BH137"/>
  <c r="BH136"/>
  <c r="BH135"/>
  <c r="BH134"/>
  <c r="BH133"/>
  <c r="BH132"/>
  <c r="BH131"/>
  <c r="BH130"/>
  <c r="BH129"/>
  <c r="BH128"/>
  <c r="BH127"/>
  <c r="BH126"/>
  <c r="BH125"/>
  <c r="BH124"/>
  <c r="BH123"/>
  <c r="BH122"/>
  <c r="BH121"/>
  <c r="BH120"/>
  <c r="BH119"/>
  <c r="BH118"/>
  <c r="BH117"/>
  <c r="BH116"/>
  <c r="BH115"/>
  <c r="BD115"/>
  <c r="BD116"/>
  <c r="BD117"/>
  <c r="BD118"/>
  <c r="BD119"/>
  <c r="BD120"/>
  <c r="BD121"/>
  <c r="BD122"/>
  <c r="BD123"/>
  <c r="BD124"/>
  <c r="BD125"/>
  <c r="BD126"/>
  <c r="BD127"/>
  <c r="BD128"/>
  <c r="BD129"/>
  <c r="BD130"/>
  <c r="BD131"/>
  <c r="BD132"/>
  <c r="BD133"/>
  <c r="BD134"/>
  <c r="BD135"/>
  <c r="BD136"/>
  <c r="BD137"/>
  <c r="BD138"/>
  <c r="BD139"/>
  <c r="BD140"/>
  <c r="BD141"/>
  <c r="BD142"/>
  <c r="BD143"/>
  <c r="BD144"/>
  <c r="BD145"/>
  <c r="BD146"/>
  <c r="BD147"/>
  <c r="BD148"/>
  <c r="BD149"/>
  <c r="BD150"/>
  <c r="BD151"/>
  <c r="BD152"/>
  <c r="BD153"/>
  <c r="BD154"/>
  <c r="BD155"/>
  <c r="BD156"/>
  <c r="BD157"/>
  <c r="BD158"/>
  <c r="BD159"/>
  <c r="BD160"/>
  <c r="BD161"/>
  <c r="BD162"/>
  <c r="BD163"/>
  <c r="BD164"/>
  <c r="BD165"/>
  <c r="BD166"/>
  <c r="BD167"/>
  <c r="BD168"/>
  <c r="BD169"/>
  <c r="BD170"/>
  <c r="BD171"/>
  <c r="BD172"/>
  <c r="BD173"/>
  <c r="BD174"/>
  <c r="BD175"/>
  <c r="BD176"/>
  <c r="BD177"/>
  <c r="BD178"/>
  <c r="BD179"/>
  <c r="BD180"/>
  <c r="BD181"/>
  <c r="BD182"/>
  <c r="BD183"/>
  <c r="BD184"/>
  <c r="BD185"/>
  <c r="BD186"/>
  <c r="BD187"/>
  <c r="BD188"/>
  <c r="BD189"/>
  <c r="BD190"/>
  <c r="BD191"/>
  <c r="BD192"/>
  <c r="BD193"/>
  <c r="BD194"/>
  <c r="BD114"/>
  <c r="BC115"/>
  <c r="BC116"/>
  <c r="BC117"/>
  <c r="BC118"/>
  <c r="BC119"/>
  <c r="BC120"/>
  <c r="BC121"/>
  <c r="BC122"/>
  <c r="BC123"/>
  <c r="BC124"/>
  <c r="BC125"/>
  <c r="BC126"/>
  <c r="BC127"/>
  <c r="BC128"/>
  <c r="BC129"/>
  <c r="BC130"/>
  <c r="BC131"/>
  <c r="BC132"/>
  <c r="BC133"/>
  <c r="BC134"/>
  <c r="BC135"/>
  <c r="BC136"/>
  <c r="BC137"/>
  <c r="BC138"/>
  <c r="BC139"/>
  <c r="BC140"/>
  <c r="BC141"/>
  <c r="BC142"/>
  <c r="BC143"/>
  <c r="BC144"/>
  <c r="BC145"/>
  <c r="BC146"/>
  <c r="BC147"/>
  <c r="BC148"/>
  <c r="BC149"/>
  <c r="BC150"/>
  <c r="BC151"/>
  <c r="BC152"/>
  <c r="BC153"/>
  <c r="BC154"/>
  <c r="BC155"/>
  <c r="BC156"/>
  <c r="BC157"/>
  <c r="BC158"/>
  <c r="BC159"/>
  <c r="BC160"/>
  <c r="BC161"/>
  <c r="BC162"/>
  <c r="BC163"/>
  <c r="BC164"/>
  <c r="BC165"/>
  <c r="BC166"/>
  <c r="BC167"/>
  <c r="BC168"/>
  <c r="BC169"/>
  <c r="BC170"/>
  <c r="BC171"/>
  <c r="BC172"/>
  <c r="BC173"/>
  <c r="BC174"/>
  <c r="BC175"/>
  <c r="BC176"/>
  <c r="BC177"/>
  <c r="BC178"/>
  <c r="BC179"/>
  <c r="BC180"/>
  <c r="BC181"/>
  <c r="BC182"/>
  <c r="BC183"/>
  <c r="BC184"/>
  <c r="BC185"/>
  <c r="BC186"/>
  <c r="BC187"/>
  <c r="BC188"/>
  <c r="BC189"/>
  <c r="BC190"/>
  <c r="BC191"/>
  <c r="BC192"/>
  <c r="BC193"/>
  <c r="BC194"/>
  <c r="BC114"/>
  <c r="B89" i="4"/>
  <c r="A2" i="5" s="1"/>
  <c r="A24" s="1"/>
  <c r="R59" i="4"/>
  <c r="R58"/>
  <c r="R54"/>
  <c r="R53"/>
  <c r="AY229" i="1" l="1"/>
  <c r="BH229"/>
  <c r="Z20" i="6" s="1"/>
  <c r="AY228" i="1"/>
  <c r="BH228"/>
  <c r="Z19" i="6" s="1"/>
  <c r="AY227" i="1"/>
  <c r="BH227"/>
  <c r="Z18" i="6" s="1"/>
  <c r="AX209" i="1"/>
  <c r="AX210" s="1"/>
  <c r="BC210" s="1"/>
  <c r="N7" i="6"/>
  <c r="O7" s="1"/>
  <c r="AN7" s="1"/>
  <c r="AY209" i="1"/>
  <c r="AZ210" s="1"/>
  <c r="BA209"/>
  <c r="BK209"/>
  <c r="N8" i="6"/>
  <c r="O8" s="1"/>
  <c r="AN8" s="1"/>
  <c r="BJ209" i="1"/>
  <c r="AV230"/>
  <c r="C21" i="6" s="1"/>
  <c r="AV241" i="1"/>
  <c r="C37" i="6" s="1"/>
  <c r="AV233" i="1"/>
  <c r="C24" i="6" s="1"/>
  <c r="AV234" i="1"/>
  <c r="C25" i="6" s="1"/>
  <c r="AV238" i="1"/>
  <c r="C34" i="6" s="1"/>
  <c r="AV237" i="1"/>
  <c r="C33" i="6" s="1"/>
  <c r="AV236" i="1"/>
  <c r="C32" i="6" s="1"/>
  <c r="AV239" i="1"/>
  <c r="C35" i="6" s="1"/>
  <c r="AV235" i="1"/>
  <c r="C26" i="6" s="1"/>
  <c r="N9"/>
  <c r="O9" s="1"/>
  <c r="N12"/>
  <c r="O12" s="1"/>
  <c r="N10"/>
  <c r="O10" s="1"/>
  <c r="N16"/>
  <c r="O16" s="1"/>
  <c r="N11"/>
  <c r="O11" s="1"/>
  <c r="AN11" s="1"/>
  <c r="N15"/>
  <c r="O15" s="1"/>
  <c r="AN13"/>
  <c r="AG7"/>
  <c r="AG8"/>
  <c r="AM8" s="1"/>
  <c r="AG9"/>
  <c r="AG13"/>
  <c r="AG11"/>
  <c r="AG10"/>
  <c r="AM10" s="1"/>
  <c r="AG15"/>
  <c r="AM15" s="1"/>
  <c r="AG16"/>
  <c r="AG14"/>
  <c r="AM14" s="1"/>
  <c r="AG12"/>
  <c r="AL22"/>
  <c r="AL21"/>
  <c r="BJ208" i="1"/>
  <c r="BU207" s="1"/>
  <c r="BV207" s="1"/>
  <c r="S49"/>
  <c r="P20" i="6"/>
  <c r="P18"/>
  <c r="X18" s="1"/>
  <c r="P19"/>
  <c r="AH20"/>
  <c r="AF20"/>
  <c r="AH18"/>
  <c r="AH19"/>
  <c r="AF19"/>
  <c r="AF18"/>
  <c r="S47" i="1"/>
  <c r="J31" i="2" s="1"/>
  <c r="P76" i="4" s="1"/>
  <c r="AT207" i="1"/>
  <c r="AP207" s="1"/>
  <c r="AQ208" s="1"/>
  <c r="AS208"/>
  <c r="AV242"/>
  <c r="C38" i="6" s="1"/>
  <c r="AR210" i="1"/>
  <c r="AD13" i="6"/>
  <c r="AD11"/>
  <c r="AB14"/>
  <c r="AC14" s="1"/>
  <c r="AN14" s="1"/>
  <c r="AB10"/>
  <c r="AC10" s="1"/>
  <c r="AB15"/>
  <c r="AC15" s="1"/>
  <c r="AD7"/>
  <c r="AB12"/>
  <c r="AC12" s="1"/>
  <c r="AD12"/>
  <c r="AO21"/>
  <c r="AB9"/>
  <c r="AC9" s="1"/>
  <c r="AD9"/>
  <c r="AB16"/>
  <c r="AC16" s="1"/>
  <c r="AD16"/>
  <c r="AS210" i="1"/>
  <c r="AV263"/>
  <c r="BB263" s="1"/>
  <c r="AV245"/>
  <c r="AV243"/>
  <c r="C39" i="6" s="1"/>
  <c r="AV246" i="1"/>
  <c r="C42" i="6" s="1"/>
  <c r="AV248" i="1"/>
  <c r="AV244"/>
  <c r="C40" i="6" s="1"/>
  <c r="AV247" i="1"/>
  <c r="C43" i="6" s="1"/>
  <c r="AV249" i="1"/>
  <c r="AV265"/>
  <c r="BB265" s="1"/>
  <c r="AV251"/>
  <c r="BE193"/>
  <c r="BE189"/>
  <c r="BE185"/>
  <c r="BE181"/>
  <c r="BE177"/>
  <c r="BE173"/>
  <c r="BE169"/>
  <c r="BE165"/>
  <c r="BE161"/>
  <c r="BE157"/>
  <c r="BE153"/>
  <c r="BE149"/>
  <c r="BE145"/>
  <c r="BE141"/>
  <c r="BE137"/>
  <c r="BE133"/>
  <c r="BE129"/>
  <c r="BE125"/>
  <c r="BE121"/>
  <c r="BE117"/>
  <c r="BE192"/>
  <c r="BE188"/>
  <c r="BE184"/>
  <c r="BE180"/>
  <c r="BE176"/>
  <c r="BE172"/>
  <c r="BE168"/>
  <c r="BE164"/>
  <c r="BE160"/>
  <c r="BE156"/>
  <c r="BE152"/>
  <c r="BE148"/>
  <c r="BE144"/>
  <c r="BE140"/>
  <c r="BE136"/>
  <c r="BE132"/>
  <c r="BE128"/>
  <c r="BE124"/>
  <c r="BE120"/>
  <c r="BE116"/>
  <c r="BE114"/>
  <c r="BE191"/>
  <c r="BE187"/>
  <c r="BE183"/>
  <c r="BE179"/>
  <c r="BE175"/>
  <c r="BE171"/>
  <c r="BE167"/>
  <c r="BE163"/>
  <c r="BE159"/>
  <c r="BE155"/>
  <c r="BE151"/>
  <c r="BE147"/>
  <c r="BE143"/>
  <c r="BE139"/>
  <c r="BE135"/>
  <c r="BE131"/>
  <c r="BE127"/>
  <c r="BE123"/>
  <c r="BE119"/>
  <c r="BE115"/>
  <c r="BE194"/>
  <c r="BE190"/>
  <c r="BE186"/>
  <c r="BE182"/>
  <c r="BE178"/>
  <c r="BE174"/>
  <c r="BE170"/>
  <c r="BE166"/>
  <c r="BE162"/>
  <c r="BE158"/>
  <c r="BE154"/>
  <c r="BE150"/>
  <c r="BE146"/>
  <c r="BE142"/>
  <c r="BE138"/>
  <c r="BE134"/>
  <c r="BE130"/>
  <c r="BE126"/>
  <c r="BE122"/>
  <c r="BE118"/>
  <c r="M35" i="4"/>
  <c r="M38" s="1"/>
  <c r="X19" i="6" l="1"/>
  <c r="X20"/>
  <c r="AI20" s="1"/>
  <c r="BB249" i="1"/>
  <c r="C50" i="6"/>
  <c r="BB248" i="1"/>
  <c r="C49" i="6"/>
  <c r="BB245" i="1"/>
  <c r="C41" i="6"/>
  <c r="AI19"/>
  <c r="AI18"/>
  <c r="BC209" i="1"/>
  <c r="AV231" s="1"/>
  <c r="BM227"/>
  <c r="L18" i="6" s="1"/>
  <c r="BM226" i="1"/>
  <c r="L17" i="6" s="1"/>
  <c r="AK17" s="1"/>
  <c r="BM228" i="1"/>
  <c r="L19" i="6" s="1"/>
  <c r="AV250" i="1"/>
  <c r="BB250" s="1"/>
  <c r="AV266"/>
  <c r="BB266" s="1"/>
  <c r="AV281"/>
  <c r="BB281" s="1"/>
  <c r="AV260"/>
  <c r="BB260" s="1"/>
  <c r="AV258"/>
  <c r="BB258" s="1"/>
  <c r="AV259"/>
  <c r="BB259" s="1"/>
  <c r="AV255"/>
  <c r="BB255" s="1"/>
  <c r="AV252"/>
  <c r="BB252" s="1"/>
  <c r="AV280"/>
  <c r="BB280" s="1"/>
  <c r="AV279"/>
  <c r="BB279" s="1"/>
  <c r="AV273"/>
  <c r="BB273" s="1"/>
  <c r="AV282"/>
  <c r="BB282" s="1"/>
  <c r="AV253"/>
  <c r="BB253" s="1"/>
  <c r="AV267"/>
  <c r="BB267" s="1"/>
  <c r="AV270"/>
  <c r="BB270" s="1"/>
  <c r="AV256"/>
  <c r="BB256" s="1"/>
  <c r="AV283"/>
  <c r="BB283" s="1"/>
  <c r="AV264"/>
  <c r="BB264" s="1"/>
  <c r="AV278"/>
  <c r="BB278" s="1"/>
  <c r="AV286"/>
  <c r="BB286" s="1"/>
  <c r="AV271"/>
  <c r="BB271" s="1"/>
  <c r="AV257"/>
  <c r="BB257" s="1"/>
  <c r="AV284"/>
  <c r="BB284" s="1"/>
  <c r="AV276"/>
  <c r="BB276" s="1"/>
  <c r="AV269"/>
  <c r="BB269" s="1"/>
  <c r="AV272"/>
  <c r="BB272" s="1"/>
  <c r="AV262"/>
  <c r="BB262" s="1"/>
  <c r="AV261"/>
  <c r="BB261" s="1"/>
  <c r="AV254"/>
  <c r="BB254" s="1"/>
  <c r="AV277"/>
  <c r="BB277" s="1"/>
  <c r="AV268"/>
  <c r="BB268" s="1"/>
  <c r="AV285"/>
  <c r="BB285" s="1"/>
  <c r="AV274"/>
  <c r="BB274" s="1"/>
  <c r="AV275"/>
  <c r="BB275" s="1"/>
  <c r="AV232"/>
  <c r="C23" i="6" s="1"/>
  <c r="AV240" i="1"/>
  <c r="BB236"/>
  <c r="J32" i="6" s="1"/>
  <c r="BB230" i="1"/>
  <c r="AN9" i="6"/>
  <c r="BB235" i="1"/>
  <c r="BB237"/>
  <c r="J33" i="6" s="1"/>
  <c r="BB233" i="1"/>
  <c r="BB234"/>
  <c r="AM16" i="6"/>
  <c r="BB239" i="1"/>
  <c r="J35" i="6" s="1"/>
  <c r="BB238" i="1"/>
  <c r="J34" i="6" s="1"/>
  <c r="BB241" i="1"/>
  <c r="J37" i="6" s="1"/>
  <c r="BB251" i="1"/>
  <c r="C56" i="6"/>
  <c r="AN12"/>
  <c r="AN16"/>
  <c r="AM12"/>
  <c r="BB244" i="1"/>
  <c r="J40" i="6" s="1"/>
  <c r="BB246" i="1"/>
  <c r="J42" i="6" s="1"/>
  <c r="BB242" i="1"/>
  <c r="J38" i="6" s="1"/>
  <c r="BB247" i="1"/>
  <c r="J43" i="6" s="1"/>
  <c r="BB243" i="1"/>
  <c r="J39" i="6" s="1"/>
  <c r="C55"/>
  <c r="AN10"/>
  <c r="AP10" s="1"/>
  <c r="AN15"/>
  <c r="AP15" s="1"/>
  <c r="AM9"/>
  <c r="AM13"/>
  <c r="AP13" s="1"/>
  <c r="AP8"/>
  <c r="AM11"/>
  <c r="AP11" s="1"/>
  <c r="AP14"/>
  <c r="AM7"/>
  <c r="AP7" s="1"/>
  <c r="Y20"/>
  <c r="Y19"/>
  <c r="Y18"/>
  <c r="BU206" i="1"/>
  <c r="BV206" s="1"/>
  <c r="C52" i="6" s="1"/>
  <c r="BU205" i="1"/>
  <c r="Q18" i="6"/>
  <c r="R18" s="1"/>
  <c r="U18"/>
  <c r="Q19"/>
  <c r="R19" s="1"/>
  <c r="U19"/>
  <c r="Q20"/>
  <c r="U20"/>
  <c r="AL18"/>
  <c r="AO19"/>
  <c r="AL19"/>
  <c r="AO20"/>
  <c r="AL20"/>
  <c r="AR208" i="1"/>
  <c r="BL207"/>
  <c r="H30" i="2"/>
  <c r="AL293" i="1"/>
  <c r="AO293" s="1"/>
  <c r="C29" i="6" s="1"/>
  <c r="AO208" i="1"/>
  <c r="BM208"/>
  <c r="N46"/>
  <c r="H38" i="6"/>
  <c r="AO32"/>
  <c r="AO24"/>
  <c r="AO33"/>
  <c r="AO23"/>
  <c r="AO26"/>
  <c r="AO25"/>
  <c r="AO37"/>
  <c r="AO22"/>
  <c r="AO35"/>
  <c r="AZ227" i="1"/>
  <c r="AL294"/>
  <c r="AO294" s="1"/>
  <c r="C53" i="6" s="1"/>
  <c r="H39"/>
  <c r="H40"/>
  <c r="H42"/>
  <c r="G55" l="1"/>
  <c r="L55"/>
  <c r="Z55"/>
  <c r="G56"/>
  <c r="L56"/>
  <c r="AY210" i="1"/>
  <c r="S48"/>
  <c r="J32" i="2" s="1"/>
  <c r="P77" i="4" s="1"/>
  <c r="BB240" i="1"/>
  <c r="C36" i="6"/>
  <c r="J41"/>
  <c r="H41"/>
  <c r="T49"/>
  <c r="F49" s="1"/>
  <c r="V49"/>
  <c r="H49" s="1"/>
  <c r="J49"/>
  <c r="BB231" i="1"/>
  <c r="C22" i="6"/>
  <c r="C59"/>
  <c r="BB232" i="1"/>
  <c r="J23" i="6" s="1"/>
  <c r="J52"/>
  <c r="E52"/>
  <c r="AP9"/>
  <c r="AP16"/>
  <c r="C28"/>
  <c r="J28" s="1"/>
  <c r="C45"/>
  <c r="H34"/>
  <c r="D34"/>
  <c r="S34" s="1"/>
  <c r="I34"/>
  <c r="E34"/>
  <c r="AE34" s="1"/>
  <c r="J24"/>
  <c r="W24"/>
  <c r="I24"/>
  <c r="D24"/>
  <c r="S24" s="1"/>
  <c r="T24"/>
  <c r="F24" s="1"/>
  <c r="E24"/>
  <c r="AE24" s="1"/>
  <c r="V24"/>
  <c r="H24" s="1"/>
  <c r="AH24" s="1"/>
  <c r="J26"/>
  <c r="T26"/>
  <c r="V26"/>
  <c r="W26"/>
  <c r="W32" s="1"/>
  <c r="W33" s="1"/>
  <c r="W34" s="1"/>
  <c r="W35" s="1"/>
  <c r="W36" s="1"/>
  <c r="W37" s="1"/>
  <c r="W38" s="1"/>
  <c r="W39" s="1"/>
  <c r="W40" s="1"/>
  <c r="W41" s="1"/>
  <c r="W42" s="1"/>
  <c r="W43" s="1"/>
  <c r="I26"/>
  <c r="D26"/>
  <c r="S26" s="1"/>
  <c r="E26"/>
  <c r="AE26" s="1"/>
  <c r="H35"/>
  <c r="D35"/>
  <c r="S35" s="1"/>
  <c r="E35"/>
  <c r="AE35" s="1"/>
  <c r="I35"/>
  <c r="H32"/>
  <c r="D32"/>
  <c r="S32" s="1"/>
  <c r="E32"/>
  <c r="AE32" s="1"/>
  <c r="I32"/>
  <c r="F32"/>
  <c r="I21"/>
  <c r="D21"/>
  <c r="S21" s="1"/>
  <c r="J21"/>
  <c r="W21"/>
  <c r="E21"/>
  <c r="AE21" s="1"/>
  <c r="T21"/>
  <c r="F21" s="1"/>
  <c r="AF21" s="1"/>
  <c r="V21"/>
  <c r="H21" s="1"/>
  <c r="AH21" s="1"/>
  <c r="H37"/>
  <c r="I37"/>
  <c r="E37"/>
  <c r="AE37" s="1"/>
  <c r="D37"/>
  <c r="S37" s="1"/>
  <c r="T23"/>
  <c r="F23" s="1"/>
  <c r="AF23" s="1"/>
  <c r="I23"/>
  <c r="V23"/>
  <c r="H23" s="1"/>
  <c r="AH23" s="1"/>
  <c r="D23"/>
  <c r="S23" s="1"/>
  <c r="W23"/>
  <c r="E23"/>
  <c r="AE23" s="1"/>
  <c r="AP12"/>
  <c r="D25"/>
  <c r="S25" s="1"/>
  <c r="V25"/>
  <c r="H25" s="1"/>
  <c r="AH25" s="1"/>
  <c r="E25"/>
  <c r="AE25" s="1"/>
  <c r="I25"/>
  <c r="W25"/>
  <c r="T25"/>
  <c r="F25" s="1"/>
  <c r="J25"/>
  <c r="H33"/>
  <c r="I33"/>
  <c r="E33"/>
  <c r="AE33" s="1"/>
  <c r="D33"/>
  <c r="S33" s="1"/>
  <c r="H56"/>
  <c r="I56"/>
  <c r="W56" s="1"/>
  <c r="J56"/>
  <c r="K56"/>
  <c r="E56"/>
  <c r="AE56" s="1"/>
  <c r="D56"/>
  <c r="S56" s="1"/>
  <c r="BV205" i="1"/>
  <c r="AE51" i="6" s="1"/>
  <c r="C27"/>
  <c r="D50"/>
  <c r="J50"/>
  <c r="I50"/>
  <c r="W50" s="1"/>
  <c r="K55"/>
  <c r="I55"/>
  <c r="D55"/>
  <c r="J55"/>
  <c r="H55"/>
  <c r="E55"/>
  <c r="AE55" s="1"/>
  <c r="K19"/>
  <c r="AJ19" s="1"/>
  <c r="K18"/>
  <c r="AJ18" s="1"/>
  <c r="K20"/>
  <c r="AJ20" s="1"/>
  <c r="G20"/>
  <c r="AG20" s="1"/>
  <c r="G18"/>
  <c r="AG18" s="1"/>
  <c r="G19"/>
  <c r="AG19" s="1"/>
  <c r="AL37"/>
  <c r="R20"/>
  <c r="AD20" s="1"/>
  <c r="D42"/>
  <c r="S42" s="1"/>
  <c r="D38"/>
  <c r="S38" s="1"/>
  <c r="AL35"/>
  <c r="D39"/>
  <c r="S39" s="1"/>
  <c r="D43"/>
  <c r="S43" s="1"/>
  <c r="D49"/>
  <c r="S49" s="1"/>
  <c r="D40"/>
  <c r="S40" s="1"/>
  <c r="D41"/>
  <c r="S41" s="1"/>
  <c r="AL36"/>
  <c r="AB18"/>
  <c r="AC18" s="1"/>
  <c r="AD18"/>
  <c r="AD19"/>
  <c r="AB19"/>
  <c r="AC19" s="1"/>
  <c r="AQ293" i="1"/>
  <c r="AP293"/>
  <c r="AT208"/>
  <c r="AS209" s="1"/>
  <c r="E38" i="6"/>
  <c r="AE38" s="1"/>
  <c r="I38"/>
  <c r="C46"/>
  <c r="AP294" i="1"/>
  <c r="AQ294"/>
  <c r="E43" i="6"/>
  <c r="E42"/>
  <c r="E41"/>
  <c r="AE41" s="1"/>
  <c r="E40"/>
  <c r="E39"/>
  <c r="I39"/>
  <c r="I41"/>
  <c r="I42"/>
  <c r="I49"/>
  <c r="W49" s="1"/>
  <c r="I40"/>
  <c r="I43"/>
  <c r="AZ229" i="1"/>
  <c r="AZ228"/>
  <c r="G50" i="6"/>
  <c r="E50"/>
  <c r="E49"/>
  <c r="AE49" s="1"/>
  <c r="AF6"/>
  <c r="AG6"/>
  <c r="W22" l="1"/>
  <c r="D36"/>
  <c r="S36" s="1"/>
  <c r="T22"/>
  <c r="F22" s="1"/>
  <c r="AF22" s="1"/>
  <c r="W55"/>
  <c r="J36"/>
  <c r="I22"/>
  <c r="C44"/>
  <c r="J44" s="1"/>
  <c r="E22"/>
  <c r="AE22" s="1"/>
  <c r="D22"/>
  <c r="S22" s="1"/>
  <c r="J22"/>
  <c r="V22"/>
  <c r="H22" s="1"/>
  <c r="AH22" s="1"/>
  <c r="H36"/>
  <c r="J53"/>
  <c r="E59"/>
  <c r="AE59" s="1"/>
  <c r="E53"/>
  <c r="AO209" i="1"/>
  <c r="AO210" s="1"/>
  <c r="AT210" s="1"/>
  <c r="AP210" s="1"/>
  <c r="I36" i="6"/>
  <c r="N51"/>
  <c r="E36"/>
  <c r="AE36" s="1"/>
  <c r="E28"/>
  <c r="E45"/>
  <c r="AE45" s="1"/>
  <c r="J45"/>
  <c r="BM209" i="1"/>
  <c r="AR209"/>
  <c r="V32" i="6"/>
  <c r="H26"/>
  <c r="AH26" s="1"/>
  <c r="F26"/>
  <c r="E27"/>
  <c r="J27"/>
  <c r="AL32"/>
  <c r="AL34"/>
  <c r="AL26"/>
  <c r="AL25"/>
  <c r="AL23"/>
  <c r="AL33"/>
  <c r="AL24"/>
  <c r="AP208" i="1"/>
  <c r="AQ209" s="1"/>
  <c r="AU242"/>
  <c r="P38" i="6" s="1"/>
  <c r="N47" i="1"/>
  <c r="H31" i="2"/>
  <c r="E29" i="6"/>
  <c r="J29"/>
  <c r="AU246" i="1"/>
  <c r="P42" i="6" s="1"/>
  <c r="AU243" i="1"/>
  <c r="P39" i="6" s="1"/>
  <c r="AU247" i="1"/>
  <c r="P43" i="6" s="1"/>
  <c r="AU244" i="1"/>
  <c r="P40" i="6" s="1"/>
  <c r="AU248" i="1"/>
  <c r="AU245"/>
  <c r="E46" i="6"/>
  <c r="AE46" s="1"/>
  <c r="AU249" i="1"/>
  <c r="P50" i="6" s="1"/>
  <c r="U50" s="1"/>
  <c r="BL208" i="1"/>
  <c r="BZ206" s="1"/>
  <c r="CA206" s="1"/>
  <c r="P52" i="6" s="1"/>
  <c r="J46"/>
  <c r="AZ222" i="1"/>
  <c r="AZ224" s="1"/>
  <c r="AE50" i="6"/>
  <c r="AE42"/>
  <c r="AE39"/>
  <c r="AE43"/>
  <c r="U38"/>
  <c r="AZ230" i="1"/>
  <c r="J17" i="6" s="1"/>
  <c r="N17" s="1"/>
  <c r="O17" s="1"/>
  <c r="AE40"/>
  <c r="BL235" i="1"/>
  <c r="BL239"/>
  <c r="L35" i="6" s="1"/>
  <c r="BL253" i="1"/>
  <c r="BL269"/>
  <c r="BL251"/>
  <c r="BL254"/>
  <c r="AF24" i="6"/>
  <c r="BH245" i="1" l="1"/>
  <c r="P41" i="6"/>
  <c r="AY248" i="1"/>
  <c r="P49" i="6"/>
  <c r="AH30"/>
  <c r="E44"/>
  <c r="AE44" s="1"/>
  <c r="AE47" s="1"/>
  <c r="BH244" i="1"/>
  <c r="Z40" i="6" s="1"/>
  <c r="BH249" i="1"/>
  <c r="Z50" i="6" s="1"/>
  <c r="Q38"/>
  <c r="R38" s="1"/>
  <c r="AD38" s="1"/>
  <c r="BH242" i="1"/>
  <c r="Z38" i="6" s="1"/>
  <c r="BH248" i="1"/>
  <c r="Z49" i="6" s="1"/>
  <c r="BH246" i="1"/>
  <c r="Z42" i="6" s="1"/>
  <c r="N59"/>
  <c r="N49" i="1"/>
  <c r="AT209"/>
  <c r="AU269" s="1"/>
  <c r="AU277"/>
  <c r="X52" i="6"/>
  <c r="AI52" s="1"/>
  <c r="Q52"/>
  <c r="N45"/>
  <c r="N28"/>
  <c r="AE28"/>
  <c r="AU232" i="1"/>
  <c r="BH232" s="1"/>
  <c r="Z23" i="6" s="1"/>
  <c r="AU241" i="1"/>
  <c r="AU233"/>
  <c r="BH233" s="1"/>
  <c r="Z24" i="6" s="1"/>
  <c r="AU234" i="1"/>
  <c r="BH234" s="1"/>
  <c r="Z25" i="6" s="1"/>
  <c r="AU240" i="1"/>
  <c r="AU239"/>
  <c r="AU236"/>
  <c r="P32" i="6" s="1"/>
  <c r="BL209" i="1"/>
  <c r="BZ207" s="1"/>
  <c r="CA207" s="1"/>
  <c r="AU237"/>
  <c r="N48"/>
  <c r="AU231"/>
  <c r="BH231" s="1"/>
  <c r="Z22" i="6" s="1"/>
  <c r="H32" i="2"/>
  <c r="AU230" i="1"/>
  <c r="BH230" s="1"/>
  <c r="Z21" i="6" s="1"/>
  <c r="AU235" i="1"/>
  <c r="BH235" s="1"/>
  <c r="Z26" i="6" s="1"/>
  <c r="AU238" i="1"/>
  <c r="V33" i="6"/>
  <c r="AH32"/>
  <c r="AE52"/>
  <c r="N52"/>
  <c r="AE27"/>
  <c r="N27"/>
  <c r="BZ205" i="1"/>
  <c r="CA205" s="1"/>
  <c r="P44" i="6" s="1"/>
  <c r="G38"/>
  <c r="AG38" s="1"/>
  <c r="Y40"/>
  <c r="Y38"/>
  <c r="Y50"/>
  <c r="Y42"/>
  <c r="AL42"/>
  <c r="Y43"/>
  <c r="Y39"/>
  <c r="AL30"/>
  <c r="U40"/>
  <c r="AL40"/>
  <c r="Q43"/>
  <c r="R43" s="1"/>
  <c r="AD43" s="1"/>
  <c r="AL43"/>
  <c r="Q39"/>
  <c r="AO39" s="1"/>
  <c r="AL39"/>
  <c r="Q42"/>
  <c r="AO42" s="1"/>
  <c r="AL38"/>
  <c r="AY242" i="1"/>
  <c r="AE29" i="6"/>
  <c r="N29"/>
  <c r="AO29"/>
  <c r="AY244" i="1"/>
  <c r="X40" i="6" s="1"/>
  <c r="BH243" i="1"/>
  <c r="Z39" i="6" s="1"/>
  <c r="BH247" i="1"/>
  <c r="Z43" i="6" s="1"/>
  <c r="U42"/>
  <c r="AY245" i="1"/>
  <c r="AY243"/>
  <c r="U43" i="6"/>
  <c r="AY247" i="1"/>
  <c r="X43" i="6" s="1"/>
  <c r="U39"/>
  <c r="AY246" i="1"/>
  <c r="X42" i="6" s="1"/>
  <c r="Q40"/>
  <c r="R40" s="1"/>
  <c r="AD40" s="1"/>
  <c r="N46"/>
  <c r="AY249" i="1"/>
  <c r="X50" i="6" s="1"/>
  <c r="AI50" s="1"/>
  <c r="AE53"/>
  <c r="AE60" s="1"/>
  <c r="N53"/>
  <c r="AZ223" i="1"/>
  <c r="AZ225" s="1"/>
  <c r="AY226" s="1"/>
  <c r="AO38" i="6"/>
  <c r="AO43"/>
  <c r="BL259" i="1"/>
  <c r="BL247"/>
  <c r="L43" i="6" s="1"/>
  <c r="BL231" i="1"/>
  <c r="BN253"/>
  <c r="BL276"/>
  <c r="BL272"/>
  <c r="BL277"/>
  <c r="BL238"/>
  <c r="L34" i="6" s="1"/>
  <c r="BL282" i="1"/>
  <c r="BL283"/>
  <c r="BL232"/>
  <c r="BL279"/>
  <c r="BL249"/>
  <c r="BL256"/>
  <c r="BL257"/>
  <c r="BL265"/>
  <c r="BL262"/>
  <c r="BL284"/>
  <c r="BL280"/>
  <c r="BL263"/>
  <c r="BL267"/>
  <c r="BL252"/>
  <c r="BN251" s="1"/>
  <c r="BL240"/>
  <c r="L36" i="6" s="1"/>
  <c r="BL242" i="1"/>
  <c r="L38" i="6" s="1"/>
  <c r="BL229" i="1"/>
  <c r="BL228"/>
  <c r="BL266"/>
  <c r="BL255"/>
  <c r="BL281"/>
  <c r="BL264"/>
  <c r="BL275"/>
  <c r="BL270"/>
  <c r="BL271"/>
  <c r="BL246"/>
  <c r="L42" i="6" s="1"/>
  <c r="BL258" i="1"/>
  <c r="BL244"/>
  <c r="L40" i="6" s="1"/>
  <c r="BL233" i="1"/>
  <c r="BL236"/>
  <c r="L32" i="6" s="1"/>
  <c r="BL230" i="1"/>
  <c r="BL234"/>
  <c r="BL286"/>
  <c r="BN286" s="1"/>
  <c r="BL268"/>
  <c r="BN268" s="1"/>
  <c r="BL250"/>
  <c r="BL245"/>
  <c r="L41" i="6" s="1"/>
  <c r="BL274" i="1"/>
  <c r="BL260"/>
  <c r="BL285"/>
  <c r="BL273"/>
  <c r="BL278"/>
  <c r="BL248"/>
  <c r="L49" i="6" s="1"/>
  <c r="BL261" i="1"/>
  <c r="BL243"/>
  <c r="L39" i="6" s="1"/>
  <c r="BL237" i="1"/>
  <c r="L33" i="6" s="1"/>
  <c r="BL241" i="1"/>
  <c r="L37" i="6" s="1"/>
  <c r="Q50"/>
  <c r="AG50"/>
  <c r="AF25"/>
  <c r="Z41" l="1"/>
  <c r="BM245" i="1"/>
  <c r="BM244"/>
  <c r="AP209"/>
  <c r="AQ210" s="1"/>
  <c r="BH237"/>
  <c r="P33" i="6"/>
  <c r="Z33" s="1"/>
  <c r="BH240" i="1"/>
  <c r="P36" i="6"/>
  <c r="Z36" s="1"/>
  <c r="X38"/>
  <c r="AI38" s="1"/>
  <c r="Y49"/>
  <c r="K49" s="1"/>
  <c r="AJ49" s="1"/>
  <c r="U49"/>
  <c r="G49" s="1"/>
  <c r="AG49" s="1"/>
  <c r="AG54" s="1"/>
  <c r="X17"/>
  <c r="AB17" s="1"/>
  <c r="AC17" s="1"/>
  <c r="AN17" s="1"/>
  <c r="BH238" i="1"/>
  <c r="P34" i="6"/>
  <c r="Z34" s="1"/>
  <c r="X49"/>
  <c r="AI49" s="1"/>
  <c r="T32"/>
  <c r="T33" s="1"/>
  <c r="U32"/>
  <c r="G32" s="1"/>
  <c r="AG32" s="1"/>
  <c r="X41"/>
  <c r="AI41" s="1"/>
  <c r="AI42"/>
  <c r="BH239" i="1"/>
  <c r="BM238" s="1"/>
  <c r="P35" i="6"/>
  <c r="BH241" i="1"/>
  <c r="P37" i="6"/>
  <c r="X39"/>
  <c r="AI39" s="1"/>
  <c r="K50"/>
  <c r="AJ50" s="1"/>
  <c r="BM243" i="1"/>
  <c r="N44" i="6"/>
  <c r="BM231" i="1"/>
  <c r="L22" i="6" s="1"/>
  <c r="BM233" i="1"/>
  <c r="L24" i="6" s="1"/>
  <c r="BM248" i="1"/>
  <c r="BM247"/>
  <c r="AY277"/>
  <c r="BH277"/>
  <c r="BM229"/>
  <c r="BM230"/>
  <c r="L21" i="6" s="1"/>
  <c r="BM232" i="1"/>
  <c r="L23" i="6" s="1"/>
  <c r="AY269" i="1"/>
  <c r="BH269"/>
  <c r="BM234"/>
  <c r="L25" i="6" s="1"/>
  <c r="AS293" i="1"/>
  <c r="AV293" s="1"/>
  <c r="P29" i="6" s="1"/>
  <c r="P46"/>
  <c r="AU280" i="1"/>
  <c r="AU266"/>
  <c r="AU262"/>
  <c r="AU258"/>
  <c r="AU267"/>
  <c r="AU265"/>
  <c r="AU253"/>
  <c r="AU279"/>
  <c r="AU273"/>
  <c r="AU285"/>
  <c r="AU274"/>
  <c r="AU255"/>
  <c r="AU252"/>
  <c r="AU256"/>
  <c r="AU276"/>
  <c r="AU284"/>
  <c r="AU271"/>
  <c r="AU268"/>
  <c r="AU270"/>
  <c r="AU251"/>
  <c r="BH251" s="1"/>
  <c r="AU286"/>
  <c r="AU261"/>
  <c r="AU282"/>
  <c r="AU254"/>
  <c r="AU263"/>
  <c r="AU250"/>
  <c r="BH250" s="1"/>
  <c r="BM249" s="1"/>
  <c r="AU264"/>
  <c r="AU278"/>
  <c r="AU272"/>
  <c r="AU283"/>
  <c r="AU257"/>
  <c r="AU260"/>
  <c r="AU259"/>
  <c r="AU281"/>
  <c r="AU275"/>
  <c r="P45" i="6"/>
  <c r="X45" s="1"/>
  <c r="AI45" s="1"/>
  <c r="P28"/>
  <c r="Q28" s="1"/>
  <c r="R28" s="1"/>
  <c r="AD28" s="1"/>
  <c r="AY238" i="1"/>
  <c r="P25" i="6"/>
  <c r="AY234" i="1"/>
  <c r="P26" i="6"/>
  <c r="AY235" i="1"/>
  <c r="P22" i="6"/>
  <c r="AY231" i="1"/>
  <c r="AY236"/>
  <c r="AY233"/>
  <c r="P24" i="6"/>
  <c r="P21"/>
  <c r="AY230" i="1"/>
  <c r="AY239"/>
  <c r="AY241"/>
  <c r="P27" i="6"/>
  <c r="Q27" s="1"/>
  <c r="R27" s="1"/>
  <c r="AY237" i="1"/>
  <c r="AY240"/>
  <c r="P23" i="6"/>
  <c r="AY232" i="1"/>
  <c r="X28" i="6"/>
  <c r="AI28" s="1"/>
  <c r="V34"/>
  <c r="AH33"/>
  <c r="AE54"/>
  <c r="K43"/>
  <c r="AJ43" s="1"/>
  <c r="K42"/>
  <c r="AJ42" s="1"/>
  <c r="K38"/>
  <c r="AJ38" s="1"/>
  <c r="K40"/>
  <c r="AJ40" s="1"/>
  <c r="K39"/>
  <c r="AJ39" s="1"/>
  <c r="R39"/>
  <c r="AD39" s="1"/>
  <c r="G42"/>
  <c r="AG42" s="1"/>
  <c r="G40"/>
  <c r="AG40" s="1"/>
  <c r="G39"/>
  <c r="AG39" s="1"/>
  <c r="G43"/>
  <c r="AG43" s="1"/>
  <c r="Y41"/>
  <c r="AL41"/>
  <c r="AL47" s="1"/>
  <c r="U41"/>
  <c r="Q49"/>
  <c r="R49" s="1"/>
  <c r="AD49" s="1"/>
  <c r="R42"/>
  <c r="AD42" s="1"/>
  <c r="R52"/>
  <c r="AD52" s="1"/>
  <c r="AM52" s="1"/>
  <c r="Q41"/>
  <c r="R41" s="1"/>
  <c r="AD41" s="1"/>
  <c r="AO41"/>
  <c r="BM242" i="1"/>
  <c r="BM246"/>
  <c r="AO28" i="6"/>
  <c r="AO40"/>
  <c r="AO52"/>
  <c r="AO45"/>
  <c r="X44"/>
  <c r="AI44" s="1"/>
  <c r="Q44"/>
  <c r="R44" s="1"/>
  <c r="AD44" s="1"/>
  <c r="AO44"/>
  <c r="X27"/>
  <c r="AI27" s="1"/>
  <c r="BN281" i="1"/>
  <c r="BN230"/>
  <c r="R50" i="6"/>
  <c r="AD50" s="1"/>
  <c r="AO50"/>
  <c r="AO49"/>
  <c r="AI40"/>
  <c r="AI43"/>
  <c r="BN271" i="1"/>
  <c r="BN263"/>
  <c r="BN258"/>
  <c r="BN274"/>
  <c r="BN282"/>
  <c r="BN265"/>
  <c r="BN279"/>
  <c r="BN270"/>
  <c r="BN261"/>
  <c r="BN285"/>
  <c r="BN275"/>
  <c r="BN266"/>
  <c r="BN280"/>
  <c r="BN260"/>
  <c r="BN248"/>
  <c r="BN255"/>
  <c r="BN269"/>
  <c r="BN237"/>
  <c r="BN240"/>
  <c r="BN257"/>
  <c r="BN232"/>
  <c r="BN277"/>
  <c r="BN247"/>
  <c r="BN231"/>
  <c r="BN254"/>
  <c r="BN243"/>
  <c r="BN273"/>
  <c r="BN245"/>
  <c r="BN236"/>
  <c r="BN246"/>
  <c r="BN264"/>
  <c r="BN228"/>
  <c r="BN227"/>
  <c r="BN252"/>
  <c r="BN284"/>
  <c r="BN256"/>
  <c r="BN283"/>
  <c r="BN272"/>
  <c r="BN241"/>
  <c r="BN234"/>
  <c r="BN244"/>
  <c r="BN242"/>
  <c r="BN238"/>
  <c r="BN278"/>
  <c r="BN250"/>
  <c r="BN233"/>
  <c r="BN229"/>
  <c r="BN267"/>
  <c r="BN262"/>
  <c r="BN249"/>
  <c r="BN276"/>
  <c r="BN235"/>
  <c r="BN239"/>
  <c r="BN259"/>
  <c r="AF26" i="6"/>
  <c r="Z37" l="1"/>
  <c r="Z35"/>
  <c r="BH236" i="1"/>
  <c r="BM237"/>
  <c r="BM240"/>
  <c r="BM239"/>
  <c r="AI17" i="6"/>
  <c r="AM17" s="1"/>
  <c r="AP17" s="1"/>
  <c r="BM241" i="1"/>
  <c r="X32" i="6"/>
  <c r="AI32" s="1"/>
  <c r="X34"/>
  <c r="AI34" s="1"/>
  <c r="U34"/>
  <c r="G34" s="1"/>
  <c r="AG34" s="1"/>
  <c r="X37"/>
  <c r="AI37" s="1"/>
  <c r="U37"/>
  <c r="G37" s="1"/>
  <c r="AG37" s="1"/>
  <c r="X33"/>
  <c r="AI33" s="1"/>
  <c r="U33"/>
  <c r="G33" s="1"/>
  <c r="AG33" s="1"/>
  <c r="T34"/>
  <c r="F33"/>
  <c r="X35"/>
  <c r="AI35" s="1"/>
  <c r="U35"/>
  <c r="G35" s="1"/>
  <c r="AG35" s="1"/>
  <c r="X36"/>
  <c r="AI36" s="1"/>
  <c r="U36"/>
  <c r="G36" s="1"/>
  <c r="AG36" s="1"/>
  <c r="AJ54"/>
  <c r="X23"/>
  <c r="AI23" s="1"/>
  <c r="U23"/>
  <c r="G23" s="1"/>
  <c r="AG23" s="1"/>
  <c r="X24"/>
  <c r="AI24" s="1"/>
  <c r="U24"/>
  <c r="G24" s="1"/>
  <c r="AG24" s="1"/>
  <c r="X22"/>
  <c r="AI22" s="1"/>
  <c r="U22"/>
  <c r="G22" s="1"/>
  <c r="AG22" s="1"/>
  <c r="X25"/>
  <c r="AI25" s="1"/>
  <c r="U25"/>
  <c r="G25" s="1"/>
  <c r="AG25" s="1"/>
  <c r="X21"/>
  <c r="AI21" s="1"/>
  <c r="U21"/>
  <c r="G21" s="1"/>
  <c r="AG21" s="1"/>
  <c r="X26"/>
  <c r="AI26" s="1"/>
  <c r="U26"/>
  <c r="G26" s="1"/>
  <c r="AG26" s="1"/>
  <c r="AK49"/>
  <c r="AY257" i="1"/>
  <c r="BH257"/>
  <c r="AY282"/>
  <c r="BH282"/>
  <c r="AY276"/>
  <c r="BH276"/>
  <c r="BM276" s="1"/>
  <c r="AY274"/>
  <c r="BH274"/>
  <c r="AY253"/>
  <c r="BH253"/>
  <c r="AY262"/>
  <c r="BH262"/>
  <c r="AY261"/>
  <c r="BH261"/>
  <c r="AY268"/>
  <c r="BH268"/>
  <c r="BM268" s="1"/>
  <c r="AY285"/>
  <c r="BH285"/>
  <c r="AY265"/>
  <c r="BH265"/>
  <c r="AY266"/>
  <c r="BH266"/>
  <c r="L20" i="6"/>
  <c r="N20" s="1"/>
  <c r="O20" s="1"/>
  <c r="AB20"/>
  <c r="AC20" s="1"/>
  <c r="AX293" i="1"/>
  <c r="X29" i="6" s="1"/>
  <c r="AI29" s="1"/>
  <c r="AY259" i="1"/>
  <c r="BH259"/>
  <c r="AY272"/>
  <c r="BH272"/>
  <c r="AY263"/>
  <c r="BH263"/>
  <c r="AY286"/>
  <c r="BH286"/>
  <c r="BM286" s="1"/>
  <c r="AY271"/>
  <c r="BH271"/>
  <c r="AY252"/>
  <c r="BH252"/>
  <c r="AY273"/>
  <c r="BH273"/>
  <c r="AY267"/>
  <c r="BH267"/>
  <c r="AY280"/>
  <c r="BH280"/>
  <c r="AY275"/>
  <c r="BH275"/>
  <c r="AY264"/>
  <c r="BH264"/>
  <c r="AY270"/>
  <c r="BH270"/>
  <c r="AY281"/>
  <c r="BH281"/>
  <c r="AY283"/>
  <c r="BH283"/>
  <c r="AY256"/>
  <c r="BH256"/>
  <c r="AY260"/>
  <c r="BH260"/>
  <c r="AY278"/>
  <c r="BH278"/>
  <c r="AY254"/>
  <c r="BH254"/>
  <c r="BM250"/>
  <c r="AY284"/>
  <c r="BH284"/>
  <c r="AY255"/>
  <c r="BH255"/>
  <c r="AY279"/>
  <c r="BH279"/>
  <c r="AY258"/>
  <c r="BH258"/>
  <c r="AW293"/>
  <c r="Q29" i="6" s="1"/>
  <c r="R29" s="1"/>
  <c r="Q45"/>
  <c r="R45" s="1"/>
  <c r="AY251" i="1"/>
  <c r="X56" i="6" s="1"/>
  <c r="AI56" s="1"/>
  <c r="AS294" i="1"/>
  <c r="AV294" s="1"/>
  <c r="P53" i="6" s="1"/>
  <c r="P56"/>
  <c r="U56" s="1"/>
  <c r="AG56" s="1"/>
  <c r="AY250" i="1"/>
  <c r="X55" i="6" s="1"/>
  <c r="AI55" s="1"/>
  <c r="P55"/>
  <c r="U55" s="1"/>
  <c r="AG55" s="1"/>
  <c r="AM28"/>
  <c r="AP28" s="1"/>
  <c r="Q46"/>
  <c r="R46" s="1"/>
  <c r="AD46" s="1"/>
  <c r="AB28"/>
  <c r="X46"/>
  <c r="AI46" s="1"/>
  <c r="Q36"/>
  <c r="AO36" s="1"/>
  <c r="Y36"/>
  <c r="K36" s="1"/>
  <c r="AJ36" s="1"/>
  <c r="Y32"/>
  <c r="K32" s="1"/>
  <c r="AJ32" s="1"/>
  <c r="Q32"/>
  <c r="R32" s="1"/>
  <c r="Y34"/>
  <c r="K34" s="1"/>
  <c r="AJ34" s="1"/>
  <c r="Q34"/>
  <c r="AO34" s="1"/>
  <c r="Y37"/>
  <c r="K37" s="1"/>
  <c r="AJ37" s="1"/>
  <c r="Q37"/>
  <c r="R37" s="1"/>
  <c r="AD37" s="1"/>
  <c r="Q21"/>
  <c r="R21" s="1"/>
  <c r="Y21"/>
  <c r="K21" s="1"/>
  <c r="AJ21" s="1"/>
  <c r="Q26"/>
  <c r="R26" s="1"/>
  <c r="Y26"/>
  <c r="K26" s="1"/>
  <c r="AJ26" s="1"/>
  <c r="Y23"/>
  <c r="K23" s="1"/>
  <c r="AJ23" s="1"/>
  <c r="Q23"/>
  <c r="R23" s="1"/>
  <c r="Y33"/>
  <c r="K33" s="1"/>
  <c r="AJ33" s="1"/>
  <c r="Q33"/>
  <c r="R33" s="1"/>
  <c r="Y24"/>
  <c r="K24" s="1"/>
  <c r="AJ24" s="1"/>
  <c r="Q24"/>
  <c r="R24" s="1"/>
  <c r="Q35"/>
  <c r="R35" s="1"/>
  <c r="AD35" s="1"/>
  <c r="Y35"/>
  <c r="K35" s="1"/>
  <c r="AJ35" s="1"/>
  <c r="Q22"/>
  <c r="R22" s="1"/>
  <c r="Y22"/>
  <c r="K22" s="1"/>
  <c r="AJ22" s="1"/>
  <c r="Y25"/>
  <c r="K25" s="1"/>
  <c r="AJ25" s="1"/>
  <c r="Q25"/>
  <c r="R25" s="1"/>
  <c r="V35"/>
  <c r="AH34"/>
  <c r="Z56"/>
  <c r="AK56" s="1"/>
  <c r="K41"/>
  <c r="AJ41" s="1"/>
  <c r="G41"/>
  <c r="AG41" s="1"/>
  <c r="AK21"/>
  <c r="AB52"/>
  <c r="AP52"/>
  <c r="AM44"/>
  <c r="AP44" s="1"/>
  <c r="AI51"/>
  <c r="R51"/>
  <c r="AB44"/>
  <c r="AB27"/>
  <c r="AD27"/>
  <c r="AM27" s="1"/>
  <c r="AO27"/>
  <c r="AO30" s="1"/>
  <c r="L50"/>
  <c r="AK50" s="1"/>
  <c r="N18"/>
  <c r="O18" s="1"/>
  <c r="AN18" s="1"/>
  <c r="N19"/>
  <c r="O19" s="1"/>
  <c r="AN19" s="1"/>
  <c r="AF30"/>
  <c r="AK22"/>
  <c r="AK23"/>
  <c r="AF32"/>
  <c r="BM236" i="1" l="1"/>
  <c r="Z32" i="6"/>
  <c r="BM235" i="1"/>
  <c r="L26" i="6" s="1"/>
  <c r="AK26" s="1"/>
  <c r="AG60"/>
  <c r="AK55"/>
  <c r="AG30"/>
  <c r="AG47"/>
  <c r="BM256" i="1"/>
  <c r="AI47" i="6"/>
  <c r="T35"/>
  <c r="AB35" s="1"/>
  <c r="AC35" s="1"/>
  <c r="F34"/>
  <c r="N34" s="1"/>
  <c r="O34" s="1"/>
  <c r="AK54"/>
  <c r="AI30"/>
  <c r="BM271" i="1"/>
  <c r="BM260"/>
  <c r="BM275"/>
  <c r="BM279"/>
  <c r="BM284"/>
  <c r="BM265"/>
  <c r="BM262"/>
  <c r="BM274"/>
  <c r="BM282"/>
  <c r="BM278"/>
  <c r="BM281"/>
  <c r="BM258"/>
  <c r="BM264"/>
  <c r="BM255"/>
  <c r="BM280"/>
  <c r="BM273"/>
  <c r="BM263"/>
  <c r="BM259"/>
  <c r="AN20" i="6"/>
  <c r="BM254" i="1"/>
  <c r="BM283"/>
  <c r="BM270"/>
  <c r="BM269"/>
  <c r="BM266"/>
  <c r="BM285"/>
  <c r="BM261"/>
  <c r="BM253"/>
  <c r="BM257"/>
  <c r="BM277"/>
  <c r="BM267"/>
  <c r="BM252"/>
  <c r="BM251"/>
  <c r="BM272"/>
  <c r="AD29" i="6"/>
  <c r="AM29" s="1"/>
  <c r="AP29" s="1"/>
  <c r="AB29"/>
  <c r="AD45"/>
  <c r="AM45" s="1"/>
  <c r="AP45" s="1"/>
  <c r="AB45"/>
  <c r="Q56"/>
  <c r="R56" s="1"/>
  <c r="AD56" s="1"/>
  <c r="Y56"/>
  <c r="AJ56" s="1"/>
  <c r="P59"/>
  <c r="AX294" i="1"/>
  <c r="AW294"/>
  <c r="Y55" i="6"/>
  <c r="AJ55" s="1"/>
  <c r="AJ60" s="1"/>
  <c r="Q55"/>
  <c r="R55" s="1"/>
  <c r="AD55" s="1"/>
  <c r="N25"/>
  <c r="O25" s="1"/>
  <c r="N32"/>
  <c r="O32" s="1"/>
  <c r="N26"/>
  <c r="O26" s="1"/>
  <c r="N33"/>
  <c r="O33" s="1"/>
  <c r="AB46"/>
  <c r="N21"/>
  <c r="O21" s="1"/>
  <c r="N24"/>
  <c r="O24" s="1"/>
  <c r="N23"/>
  <c r="O23" s="1"/>
  <c r="AO47"/>
  <c r="R36"/>
  <c r="AD36" s="1"/>
  <c r="AB21"/>
  <c r="AC21" s="1"/>
  <c r="AD21"/>
  <c r="AM21" s="1"/>
  <c r="AD33"/>
  <c r="AB33"/>
  <c r="AC33" s="1"/>
  <c r="N22"/>
  <c r="O22" s="1"/>
  <c r="R34"/>
  <c r="AB22"/>
  <c r="AC22" s="1"/>
  <c r="AD22"/>
  <c r="AM22" s="1"/>
  <c r="AJ47"/>
  <c r="AB25"/>
  <c r="AC25" s="1"/>
  <c r="AD25"/>
  <c r="AD24"/>
  <c r="AB24"/>
  <c r="AC24" s="1"/>
  <c r="AD23"/>
  <c r="AM23" s="1"/>
  <c r="AB23"/>
  <c r="AC23" s="1"/>
  <c r="AD26"/>
  <c r="AB26"/>
  <c r="AC26" s="1"/>
  <c r="AJ30"/>
  <c r="AD32"/>
  <c r="AB32"/>
  <c r="AC32" s="1"/>
  <c r="V36"/>
  <c r="AH35"/>
  <c r="AK60"/>
  <c r="AI60"/>
  <c r="AO51"/>
  <c r="AB51"/>
  <c r="AD51"/>
  <c r="AP27"/>
  <c r="AK24"/>
  <c r="AM46"/>
  <c r="AP46" s="1"/>
  <c r="AK37"/>
  <c r="AK35"/>
  <c r="AK42"/>
  <c r="AK25"/>
  <c r="AK41"/>
  <c r="AK39"/>
  <c r="AK38"/>
  <c r="AK18"/>
  <c r="AM18" s="1"/>
  <c r="AP18" s="1"/>
  <c r="AK20"/>
  <c r="AM20" s="1"/>
  <c r="AK36"/>
  <c r="AK19"/>
  <c r="AM19" s="1"/>
  <c r="AP19" s="1"/>
  <c r="AK32"/>
  <c r="AK40"/>
  <c r="AK43"/>
  <c r="AK33"/>
  <c r="AK34"/>
  <c r="AF33"/>
  <c r="M61" i="4"/>
  <c r="T36" i="6" l="1"/>
  <c r="AB36" s="1"/>
  <c r="AC36" s="1"/>
  <c r="F35"/>
  <c r="N35" s="1"/>
  <c r="O35" s="1"/>
  <c r="AN35" s="1"/>
  <c r="AN33"/>
  <c r="AP20"/>
  <c r="X59"/>
  <c r="AI59" s="1"/>
  <c r="X53"/>
  <c r="AI53" s="1"/>
  <c r="AI54" s="1"/>
  <c r="Q59"/>
  <c r="R59" s="1"/>
  <c r="AD59" s="1"/>
  <c r="Q53"/>
  <c r="R53" s="1"/>
  <c r="AN25"/>
  <c r="AN32"/>
  <c r="AN26"/>
  <c r="AN21"/>
  <c r="AP21" s="1"/>
  <c r="AM25"/>
  <c r="AP25" s="1"/>
  <c r="AN24"/>
  <c r="AM26"/>
  <c r="AN23"/>
  <c r="AP23" s="1"/>
  <c r="AM24"/>
  <c r="AD34"/>
  <c r="AD47" s="1"/>
  <c r="AB34"/>
  <c r="AC34" s="1"/>
  <c r="AN34" s="1"/>
  <c r="AN22"/>
  <c r="AP22" s="1"/>
  <c r="V37"/>
  <c r="AH36"/>
  <c r="AO60"/>
  <c r="AO54"/>
  <c r="AM51"/>
  <c r="AP51" s="1"/>
  <c r="AD60"/>
  <c r="AK47"/>
  <c r="AM33"/>
  <c r="AM32"/>
  <c r="AF34"/>
  <c r="R61" i="4"/>
  <c r="M62" s="1"/>
  <c r="AP33" i="6" l="1"/>
  <c r="T37"/>
  <c r="F36"/>
  <c r="N36" s="1"/>
  <c r="O36" s="1"/>
  <c r="AN36" s="1"/>
  <c r="AP32"/>
  <c r="AM59"/>
  <c r="AP59" s="1"/>
  <c r="AD53"/>
  <c r="AB53"/>
  <c r="AP26"/>
  <c r="AP24"/>
  <c r="AM34"/>
  <c r="AP34" s="1"/>
  <c r="V38"/>
  <c r="AH37"/>
  <c r="AF35"/>
  <c r="AM35" s="1"/>
  <c r="AP35" s="1"/>
  <c r="T38" l="1"/>
  <c r="AB38" s="1"/>
  <c r="AC38" s="1"/>
  <c r="F37"/>
  <c r="N37" s="1"/>
  <c r="O37" s="1"/>
  <c r="AB37"/>
  <c r="AC37" s="1"/>
  <c r="AM53"/>
  <c r="AP53" s="1"/>
  <c r="AD54"/>
  <c r="V39"/>
  <c r="AH38"/>
  <c r="AF36"/>
  <c r="AM36" s="1"/>
  <c r="AP36" s="1"/>
  <c r="AD6"/>
  <c r="AE30"/>
  <c r="AN37" l="1"/>
  <c r="T39"/>
  <c r="F38"/>
  <c r="N38" s="1"/>
  <c r="O38" s="1"/>
  <c r="AN38" s="1"/>
  <c r="V40"/>
  <c r="AH39"/>
  <c r="AD30"/>
  <c r="AF37"/>
  <c r="AM37" s="1"/>
  <c r="AP37" l="1"/>
  <c r="T40"/>
  <c r="AB40" s="1"/>
  <c r="AC40" s="1"/>
  <c r="F39"/>
  <c r="N39" s="1"/>
  <c r="O39" s="1"/>
  <c r="AB39"/>
  <c r="AC39" s="1"/>
  <c r="V41"/>
  <c r="AH40"/>
  <c r="AF38"/>
  <c r="AM38" s="1"/>
  <c r="AP38" s="1"/>
  <c r="AN39" l="1"/>
  <c r="T41"/>
  <c r="F40"/>
  <c r="N40" s="1"/>
  <c r="O40" s="1"/>
  <c r="AN40" s="1"/>
  <c r="V42"/>
  <c r="AH41"/>
  <c r="AF39"/>
  <c r="AM39" s="1"/>
  <c r="AP39" l="1"/>
  <c r="T42"/>
  <c r="AB42" s="1"/>
  <c r="AC42" s="1"/>
  <c r="F41"/>
  <c r="N41" s="1"/>
  <c r="O41" s="1"/>
  <c r="AB41"/>
  <c r="AC41" s="1"/>
  <c r="V43"/>
  <c r="AH42"/>
  <c r="T50"/>
  <c r="T55" s="1"/>
  <c r="AF40"/>
  <c r="AM40" s="1"/>
  <c r="AP40" s="1"/>
  <c r="AN41" l="1"/>
  <c r="T43"/>
  <c r="F43" s="1"/>
  <c r="F42"/>
  <c r="N42" s="1"/>
  <c r="O42" s="1"/>
  <c r="AN42" s="1"/>
  <c r="H43"/>
  <c r="T56"/>
  <c r="AF41"/>
  <c r="AM41" s="1"/>
  <c r="AP41" l="1"/>
  <c r="N43"/>
  <c r="O43" s="1"/>
  <c r="AB43"/>
  <c r="AC43" s="1"/>
  <c r="AH43"/>
  <c r="AH47" s="1"/>
  <c r="V50"/>
  <c r="H50" s="1"/>
  <c r="AH49"/>
  <c r="AF42"/>
  <c r="AM42" s="1"/>
  <c r="AP42" s="1"/>
  <c r="AN43" l="1"/>
  <c r="AN47" s="1"/>
  <c r="V55"/>
  <c r="AH50"/>
  <c r="AH54" s="1"/>
  <c r="F50"/>
  <c r="F55" s="1"/>
  <c r="F56" s="1"/>
  <c r="AF43"/>
  <c r="V56" l="1"/>
  <c r="AH55"/>
  <c r="N56"/>
  <c r="O56" s="1"/>
  <c r="AF56"/>
  <c r="AL55"/>
  <c r="AL60" s="1"/>
  <c r="AL50"/>
  <c r="AM43"/>
  <c r="AF47"/>
  <c r="AF49"/>
  <c r="AL49"/>
  <c r="AL54" s="1"/>
  <c r="AH56" l="1"/>
  <c r="AM56" s="1"/>
  <c r="AB56"/>
  <c r="AC56" s="1"/>
  <c r="AN56" s="1"/>
  <c r="AM49"/>
  <c r="AP43"/>
  <c r="AP47" s="1"/>
  <c r="P97" i="4" s="1"/>
  <c r="AM47" i="6"/>
  <c r="AF50"/>
  <c r="AF54" s="1"/>
  <c r="AH60" l="1"/>
  <c r="AP56"/>
  <c r="S50"/>
  <c r="AM50"/>
  <c r="AM54" s="1"/>
  <c r="AB49"/>
  <c r="AC49" s="1"/>
  <c r="N49"/>
  <c r="O49" s="1"/>
  <c r="AF55"/>
  <c r="AM55" l="1"/>
  <c r="AM60" s="1"/>
  <c r="AF60"/>
  <c r="AN49"/>
  <c r="S55"/>
  <c r="AB55" s="1"/>
  <c r="AC55" s="1"/>
  <c r="N55"/>
  <c r="O55" s="1"/>
  <c r="AB50"/>
  <c r="AC50" s="1"/>
  <c r="N50"/>
  <c r="O50" s="1"/>
  <c r="AP49" l="1"/>
  <c r="AN50"/>
  <c r="AN54" s="1"/>
  <c r="AN55"/>
  <c r="AP55" l="1"/>
  <c r="AP60" s="1"/>
  <c r="P99" i="4" s="1"/>
  <c r="AN60" i="6"/>
  <c r="AP50"/>
  <c r="AP54" s="1"/>
  <c r="P98" i="4" l="1"/>
  <c r="AK6" i="6" l="1"/>
  <c r="AM6" s="1"/>
  <c r="AM30" s="1"/>
  <c r="AB6"/>
  <c r="AC6" s="1"/>
  <c r="AN6" s="1"/>
  <c r="AN30" s="1"/>
  <c r="AK30" l="1"/>
  <c r="AP6"/>
  <c r="AP30" s="1"/>
  <c r="P96" i="4" s="1"/>
</calcChain>
</file>

<file path=xl/sharedStrings.xml><?xml version="1.0" encoding="utf-8"?>
<sst xmlns="http://schemas.openxmlformats.org/spreadsheetml/2006/main" count="843" uniqueCount="500">
  <si>
    <t>No.</t>
  </si>
  <si>
    <t>Date:</t>
  </si>
  <si>
    <t>Sub:</t>
  </si>
  <si>
    <t xml:space="preserve"> </t>
  </si>
  <si>
    <t>Ref:</t>
  </si>
  <si>
    <t>7. Proposals of the Individual with option Date</t>
  </si>
  <si>
    <t>ORDER</t>
  </si>
  <si>
    <t>Basic Pay as on option Date  :   Rs.</t>
  </si>
  <si>
    <t>Toal  :   Rs.</t>
  </si>
  <si>
    <t>Name of the Incumbent</t>
  </si>
  <si>
    <t>Revised Scale of Pay</t>
  </si>
  <si>
    <t>Date of Increments</t>
  </si>
  <si>
    <t>Next Annual Grade Increment on</t>
  </si>
  <si>
    <t xml:space="preserve">         Further the individuals are informed that if any excess payment is noticed due to erroneous fixation of pay the same will be recovered lumpsum from the concerned without any prior notice and when anomaly if any is noticed by the authorities concerned in during the course of audit, the pay will be revised accordingly.</t>
  </si>
  <si>
    <t xml:space="preserve">         Pay fixation forms pay bills, option forms along with Original Service Book is enclosed here with.</t>
  </si>
  <si>
    <t>The Individual Concerned.</t>
  </si>
  <si>
    <t>Copy to the pay bills (3) copies submitted to STO</t>
  </si>
  <si>
    <t>Copy to Office File.</t>
  </si>
  <si>
    <t>ANNEXURE</t>
  </si>
  <si>
    <t>FORM FOR EXCERCISING OPTION UNDER THE TELANGANA STATE</t>
  </si>
  <si>
    <t>(*)I,</t>
  </si>
  <si>
    <t>………………………………………………………………….</t>
  </si>
  <si>
    <t xml:space="preserve">holding the post of </t>
  </si>
  <si>
    <t>……………………………………………</t>
  </si>
  <si>
    <t>in the scale of Rs.</t>
  </si>
  <si>
    <t>………………………………</t>
  </si>
  <si>
    <t xml:space="preserve">in the office of </t>
  </si>
  <si>
    <t>.. ………………… …………..</t>
  </si>
  <si>
    <t>…………………………..</t>
  </si>
  <si>
    <t>do</t>
  </si>
  <si>
    <t>here by elect to continue in the existing scale of Pay.</t>
  </si>
  <si>
    <t>The option here by exercised is final and will not be modified at any subsequent date.</t>
  </si>
  <si>
    <t>Date    :</t>
  </si>
  <si>
    <t xml:space="preserve">Signature    </t>
  </si>
  <si>
    <t>:</t>
  </si>
  <si>
    <t>Station:</t>
  </si>
  <si>
    <t xml:space="preserve">Name          </t>
  </si>
  <si>
    <t>Designation</t>
  </si>
  <si>
    <t>Office in which Employeed:</t>
  </si>
  <si>
    <t>Signed before me</t>
  </si>
  <si>
    <t>Signature of Head of Officer</t>
  </si>
  <si>
    <t>(with date)</t>
  </si>
  <si>
    <t>( In case of Non - Gazetted Officer)</t>
  </si>
  <si>
    <t>Signature of Another Gazetted Officer</t>
  </si>
  <si>
    <t>( In case of  Gazetted Officer)</t>
  </si>
  <si>
    <t>Note:</t>
  </si>
  <si>
    <t>Separate option shoud be given in respect of substanitive and officiating posts.</t>
  </si>
  <si>
    <t>(*)</t>
  </si>
  <si>
    <t>To be scored out if not applicable</t>
  </si>
  <si>
    <t>Pay and Accounts Officer/ Head of Office</t>
  </si>
  <si>
    <t>………………………………………………………………………………………………………….</t>
  </si>
  <si>
    <t>APPENDIX - I</t>
  </si>
  <si>
    <t>Separate statement should be prepared for fixation of pay in respect of substantive and officiating post</t>
  </si>
  <si>
    <t>In respect of employees holding Special Grade/ Special Promotion Post/ Special Adhoc Promotion Post,</t>
  </si>
  <si>
    <t>fixation shall be in the  corresponding relevant Revised Scales assigned to the post.</t>
  </si>
  <si>
    <t>Name of the Employee</t>
  </si>
  <si>
    <t>Designation of the post in which pay is to be fixed (the actual nomenclature of the post i.e Ordinary/Special Grade/SPP-IA&amp;IB/SAPP-IA&amp;IB/SPP-II/SAPP-II held by the employee is to be only mentioned)</t>
  </si>
  <si>
    <t>Whether Substative or Officiating</t>
  </si>
  <si>
    <t xml:space="preserve">4.  a) </t>
  </si>
  <si>
    <t>Yes</t>
  </si>
  <si>
    <t>b)</t>
  </si>
  <si>
    <t>Date on which option was exercised</t>
  </si>
  <si>
    <t>c)</t>
  </si>
  <si>
    <t>Date from which option to come over to the Revised</t>
  </si>
  <si>
    <t>Date of next increment.</t>
  </si>
  <si>
    <t>5  a)</t>
  </si>
  <si>
    <t xml:space="preserve">     b)</t>
  </si>
  <si>
    <t>a)</t>
  </si>
  <si>
    <t xml:space="preserve">Basic Pay' i.e. pay as defined in Fundamental Rule 9 (21) (a) (i) including stagnation increments/ Pay as per 6(b) above          </t>
  </si>
  <si>
    <t>Personal Pay under Rule 9 (23) (a) of the fundamental</t>
  </si>
  <si>
    <t xml:space="preserve">Rules or Rule 7(40) (a) of the Hyderabad Civil </t>
  </si>
  <si>
    <t>Service Regulations</t>
  </si>
  <si>
    <t>(without being rounded off) which existed on</t>
  </si>
  <si>
    <t>sub-item (a) above</t>
  </si>
  <si>
    <t>Total 7 (a to c)</t>
  </si>
  <si>
    <t>Total of items 6 and 7                                                      :</t>
  </si>
  <si>
    <t>Revised Pay as fixed in the Revised Scale at the Stage</t>
  </si>
  <si>
    <t xml:space="preserve">next above the amount referred to in item 8 above </t>
  </si>
  <si>
    <t xml:space="preserve">irrespective whether, the amount is a stage or not, in </t>
  </si>
  <si>
    <t>the Revised Scale.</t>
  </si>
  <si>
    <t>Increase in Emoluments</t>
  </si>
  <si>
    <t>in the Existing Pay</t>
  </si>
  <si>
    <t>in the Revised Pay</t>
  </si>
  <si>
    <t>i)</t>
  </si>
  <si>
    <t>Basic Pay</t>
  </si>
  <si>
    <t>ii)</t>
  </si>
  <si>
    <t>Special Pay*</t>
  </si>
  <si>
    <t>iii)</t>
  </si>
  <si>
    <t>Personal Pay*</t>
  </si>
  <si>
    <t>iv)</t>
  </si>
  <si>
    <t>Family Planning Increment*</t>
  </si>
  <si>
    <t>v)</t>
  </si>
  <si>
    <t>Advance Increments*</t>
  </si>
  <si>
    <t>vi)</t>
  </si>
  <si>
    <t>Dearness Allowance</t>
  </si>
  <si>
    <t>vii)</t>
  </si>
  <si>
    <t>House Rent Allowance</t>
  </si>
  <si>
    <t>viii)</t>
  </si>
  <si>
    <t>City Compensatory Allowance</t>
  </si>
  <si>
    <t>ix)</t>
  </si>
  <si>
    <t>Other Compensatory Allowance</t>
  </si>
  <si>
    <t>x)</t>
  </si>
  <si>
    <t>Telangana Increment (Telangana Special Pay) #</t>
  </si>
  <si>
    <t>xi)</t>
  </si>
  <si>
    <t>Interim Relief</t>
  </si>
  <si>
    <t>Total</t>
  </si>
  <si>
    <t>Net Increse Y - X</t>
  </si>
  <si>
    <t>12 a)</t>
  </si>
  <si>
    <t>The amount of pay fixed in the Revised Pay Scales,</t>
  </si>
  <si>
    <t xml:space="preserve"> b)</t>
  </si>
  <si>
    <t>(vide item 11 above)</t>
  </si>
  <si>
    <t xml:space="preserve"> c)</t>
  </si>
  <si>
    <t>No</t>
  </si>
  <si>
    <r>
      <t>officiating post as per Rule 6(g) (i) of</t>
    </r>
    <r>
      <rPr>
        <sz val="10"/>
        <color indexed="10"/>
        <rFont val="Times New Roman"/>
        <family val="1"/>
      </rPr>
      <t xml:space="preserve"> Telangana</t>
    </r>
  </si>
  <si>
    <t>Pay in 13 is equal or less than Pay in item 12(a) above</t>
  </si>
  <si>
    <t>(i.e next stage to the amount of the substantive pay</t>
  </si>
  <si>
    <t>as per item 12(a) above)</t>
  </si>
  <si>
    <t>Date of next increment</t>
  </si>
  <si>
    <t>Any other relevent information</t>
  </si>
  <si>
    <t>Station    :</t>
  </si>
  <si>
    <t>Signature of the Head of the Office/</t>
  </si>
  <si>
    <t>Date          :</t>
  </si>
  <si>
    <t>Drawing and Disbursing Officer.</t>
  </si>
  <si>
    <t>*</t>
  </si>
  <si>
    <t>Shall not be reckoned as pay for purpose of calaculation of Dearness Allowance, House Rent Allowance and</t>
  </si>
  <si>
    <t>City Componsatory Allowance</t>
  </si>
  <si>
    <t>APPENDIX - II</t>
  </si>
  <si>
    <t>Name of the Office</t>
  </si>
  <si>
    <t>Designation of the Drawing and Disbursing Officer</t>
  </si>
  <si>
    <t>Name and Designation of the Employee</t>
  </si>
  <si>
    <t xml:space="preserve">Amount of Arrears of Fixation of Pay in </t>
  </si>
  <si>
    <t>Rs.</t>
  </si>
  <si>
    <t>Signature of the Drawing and Disbursing Officer,</t>
  </si>
  <si>
    <t>Station     :</t>
  </si>
  <si>
    <t>Office Seal:</t>
  </si>
  <si>
    <t>ANNEXURE - I</t>
  </si>
  <si>
    <t xml:space="preserve">List of Staff Members working in the office of </t>
  </si>
  <si>
    <t>Sl.No</t>
  </si>
  <si>
    <t>Name</t>
  </si>
  <si>
    <t>Designation/ Category</t>
  </si>
  <si>
    <t>Duty/Suspension/Leave/Training/Deputation</t>
  </si>
  <si>
    <t>Result of Verification</t>
  </si>
  <si>
    <t>Duty</t>
  </si>
  <si>
    <t>Signature of the Drawing and</t>
  </si>
  <si>
    <t>Signatureof the Sub- Treasury Officer/</t>
  </si>
  <si>
    <t>Disbursing Officer.</t>
  </si>
  <si>
    <t>District Treasury Officer/</t>
  </si>
  <si>
    <t>Pay and Accounts Officer/</t>
  </si>
  <si>
    <t>District Audit Officer, State Audit.</t>
  </si>
  <si>
    <t>ANNEXURE - II</t>
  </si>
  <si>
    <t>Office of …………………………………………………………………</t>
  </si>
  <si>
    <t>Name and Designation</t>
  </si>
  <si>
    <t>Defects noticed in verification of pay fixation statement</t>
  </si>
  <si>
    <t>Reference No. in which the matter is reported to the Drawing and Disbursing Officer</t>
  </si>
  <si>
    <t>Final Result (i.e) whether the Revised Pay fixation is admitted</t>
  </si>
  <si>
    <t>Signature of the Checking Authority</t>
  </si>
  <si>
    <t>Period</t>
  </si>
  <si>
    <t>To be drawn</t>
  </si>
  <si>
    <t>PT Tobe Paid</t>
  </si>
  <si>
    <t>Already Drawn</t>
  </si>
  <si>
    <t>PT Paid</t>
  </si>
  <si>
    <t>Difference</t>
  </si>
  <si>
    <t>PT Diff</t>
  </si>
  <si>
    <t>Net Payable</t>
  </si>
  <si>
    <t>Pay</t>
  </si>
  <si>
    <t>HMA</t>
  </si>
  <si>
    <t>PHC</t>
  </si>
  <si>
    <t>TS Inc</t>
  </si>
  <si>
    <t>DA</t>
  </si>
  <si>
    <t>HRA</t>
  </si>
  <si>
    <t>CCA</t>
  </si>
  <si>
    <t>DDO Signature with stamp</t>
  </si>
  <si>
    <t>ok</t>
  </si>
  <si>
    <t>Designation as on Option Date</t>
  </si>
  <si>
    <t xml:space="preserve">Present Designation </t>
  </si>
  <si>
    <t>Mandal</t>
  </si>
  <si>
    <t>District</t>
  </si>
  <si>
    <t>Employee ID</t>
  </si>
  <si>
    <t>Name of the Officer</t>
  </si>
  <si>
    <t>Office of the Officer</t>
  </si>
  <si>
    <t>DDO Code</t>
  </si>
  <si>
    <t xml:space="preserve">Option Date </t>
  </si>
  <si>
    <t>With availing July, 18 Increment</t>
  </si>
  <si>
    <t>Telangana Increment</t>
  </si>
  <si>
    <t>Family Planing Increment</t>
  </si>
  <si>
    <t>PHC Allowance</t>
  </si>
  <si>
    <t>Surrender Leave 1</t>
  </si>
  <si>
    <t>Surrender Leave 2</t>
  </si>
  <si>
    <t>Pay Raised Due to</t>
  </si>
  <si>
    <t>DD</t>
  </si>
  <si>
    <t>HRA and CCA Particulars if applicable any</t>
  </si>
  <si>
    <t>any change</t>
  </si>
  <si>
    <t>Changed to % &amp; w.e.f</t>
  </si>
  <si>
    <t>CCA as on option</t>
  </si>
  <si>
    <t>Sri.</t>
  </si>
  <si>
    <t>Smt.</t>
  </si>
  <si>
    <t>Kum.</t>
  </si>
  <si>
    <t>01.07.2018</t>
  </si>
  <si>
    <t>NA</t>
  </si>
  <si>
    <t>Year</t>
  </si>
  <si>
    <t>MM</t>
  </si>
  <si>
    <t>RPS 2015 Scale of Pay</t>
  </si>
  <si>
    <t>RPS 2021 Scale of Pay</t>
  </si>
  <si>
    <t xml:space="preserve">RPS 2015 Basic Pay </t>
  </si>
  <si>
    <t xml:space="preserve">RPS 2021 Basic Pay </t>
  </si>
  <si>
    <t>Any Change in CCA</t>
  </si>
  <si>
    <t>Other Muncipal Corporation</t>
  </si>
  <si>
    <t>Next Increment as on</t>
  </si>
  <si>
    <t>No CCA</t>
  </si>
  <si>
    <t>GHMC</t>
  </si>
  <si>
    <t>CCA Changed w.e.f</t>
  </si>
  <si>
    <t>Increment</t>
  </si>
  <si>
    <t>FR 22 a(i)</t>
  </si>
  <si>
    <t>FR 22 B</t>
  </si>
  <si>
    <t>Increment &amp; FR 22 B</t>
  </si>
  <si>
    <t>AAS 6yrs SG</t>
  </si>
  <si>
    <t>AAS 18yrs SPP-IB</t>
  </si>
  <si>
    <t>AAS 12yrs SPP-IA</t>
  </si>
  <si>
    <t>AAS 24yrs SPP-II</t>
  </si>
  <si>
    <t>No Change</t>
  </si>
  <si>
    <t>Putta Srinivas Reddy</t>
  </si>
  <si>
    <t>Secondary Grade Teacher</t>
  </si>
  <si>
    <t>Domakonda</t>
  </si>
  <si>
    <t>Kamareddy</t>
  </si>
  <si>
    <t>Mandal Educational Officer</t>
  </si>
  <si>
    <t>Proceeding issued by (Designation)</t>
  </si>
  <si>
    <t>M.Sevla, M.A, B.Ed</t>
  </si>
  <si>
    <t>M.P Domakonda</t>
  </si>
  <si>
    <t>DDO Office</t>
  </si>
  <si>
    <t>Designation of the DDO</t>
  </si>
  <si>
    <t>Complex Headmaster</t>
  </si>
  <si>
    <t>ZPHS Boys Domakonda</t>
  </si>
  <si>
    <t>13000 - 40270</t>
  </si>
  <si>
    <t>13390 - 41380</t>
  </si>
  <si>
    <t>13780 - 42490</t>
  </si>
  <si>
    <t>14600 - 44870</t>
  </si>
  <si>
    <t>15030 - 46060</t>
  </si>
  <si>
    <t>15460 - 47330</t>
  </si>
  <si>
    <t>16400 - 49870</t>
  </si>
  <si>
    <t>17890 - 53950</t>
  </si>
  <si>
    <t>18400 - 55410</t>
  </si>
  <si>
    <t>19500 - 58330</t>
  </si>
  <si>
    <t>21230 - 63010</t>
  </si>
  <si>
    <t>22460 - 66330</t>
  </si>
  <si>
    <t>23100 - 67990</t>
  </si>
  <si>
    <t>24440 - 71510</t>
  </si>
  <si>
    <t>25140 - 73270</t>
  </si>
  <si>
    <t>26600 - 77030</t>
  </si>
  <si>
    <t>28940 - 78910</t>
  </si>
  <si>
    <t>29760 - 80930</t>
  </si>
  <si>
    <t>31460 - 84970</t>
  </si>
  <si>
    <t>35120 - 87130</t>
  </si>
  <si>
    <t>37100 - 91450</t>
  </si>
  <si>
    <t>40270 - 93780</t>
  </si>
  <si>
    <t>42490 - 96110</t>
  </si>
  <si>
    <t>46060 - 98440</t>
  </si>
  <si>
    <t>49870 - 100770</t>
  </si>
  <si>
    <t>52590 - 103290</t>
  </si>
  <si>
    <t>56870 - 105810</t>
  </si>
  <si>
    <t>61450 - 105810</t>
  </si>
  <si>
    <t>66330 - 108330</t>
  </si>
  <si>
    <t>73270 - 108330</t>
  </si>
  <si>
    <t>80930 - 110850</t>
  </si>
  <si>
    <t>87130 - 110850</t>
  </si>
  <si>
    <t>19000 - 58850</t>
  </si>
  <si>
    <t>19640 - 60480</t>
  </si>
  <si>
    <t>20280 - 62110</t>
  </si>
  <si>
    <t>21580 - 65570</t>
  </si>
  <si>
    <t>22240 - 67300</t>
  </si>
  <si>
    <t>22900 - 69150</t>
  </si>
  <si>
    <t>24280 - 72850</t>
  </si>
  <si>
    <t>26410 - 78820</t>
  </si>
  <si>
    <t>27130 - 80960</t>
  </si>
  <si>
    <t>28630 - 85240</t>
  </si>
  <si>
    <t>31040 - 92050</t>
  </si>
  <si>
    <t>32810 - 96890</t>
  </si>
  <si>
    <t>33750 - 99310</t>
  </si>
  <si>
    <t>35720 - 104430</t>
  </si>
  <si>
    <t>36750 - 106990</t>
  </si>
  <si>
    <t>38890 - 112510</t>
  </si>
  <si>
    <t>42300 - 115270</t>
  </si>
  <si>
    <t>43490 - 118230</t>
  </si>
  <si>
    <t>45960 - 124150</t>
  </si>
  <si>
    <t>51320 - 127310</t>
  </si>
  <si>
    <t>54220 - 133630</t>
  </si>
  <si>
    <t>58850 - 137050</t>
  </si>
  <si>
    <t>62110 - 140470</t>
  </si>
  <si>
    <t>67300 - 143890</t>
  </si>
  <si>
    <t>72850 - 147310</t>
  </si>
  <si>
    <t>76830 - 151000</t>
  </si>
  <si>
    <t>83100 - 154690</t>
  </si>
  <si>
    <t>89780 - 154690</t>
  </si>
  <si>
    <t>96890 - 158380</t>
  </si>
  <si>
    <t>106990 - 158380</t>
  </si>
  <si>
    <t>118230 - 162070</t>
  </si>
  <si>
    <t>127310 - 162070</t>
  </si>
  <si>
    <t>Jul</t>
  </si>
  <si>
    <t>Aug</t>
  </si>
  <si>
    <t>Sep</t>
  </si>
  <si>
    <t>Oct</t>
  </si>
  <si>
    <t>Nov</t>
  </si>
  <si>
    <t>Dec</t>
  </si>
  <si>
    <t>Jan</t>
  </si>
  <si>
    <t>Feb</t>
  </si>
  <si>
    <t>Mar</t>
  </si>
  <si>
    <t>Apr</t>
  </si>
  <si>
    <t>May</t>
  </si>
  <si>
    <t>Jun</t>
  </si>
  <si>
    <t>Pay as on Option</t>
  </si>
  <si>
    <t>INC &amp; AAS</t>
  </si>
  <si>
    <t>INC &amp; FR 22 B</t>
  </si>
  <si>
    <t>1 to 6</t>
  </si>
  <si>
    <t>Programme Developed By PUTTA SREENIVAS REDDY,( www.putta.in )</t>
  </si>
  <si>
    <t>Scale,2015  X</t>
  </si>
  <si>
    <t>Dearness Allowance admissible at the rate @30.392%</t>
  </si>
  <si>
    <t>1st July,2018 appropriate to Basic Pay reffered to at      :</t>
  </si>
  <si>
    <t>Pay 2015</t>
  </si>
  <si>
    <t>Pay 2021</t>
  </si>
  <si>
    <t>.</t>
  </si>
  <si>
    <t>Next Increment Date</t>
  </si>
  <si>
    <t>Additional Qualification Increments sanctioned upto RPS 1993</t>
  </si>
  <si>
    <t xml:space="preserve">DA @ 30.392%       :   Rs.  </t>
  </si>
  <si>
    <t>Programme Developed By PUTTA SREENIVAS REDDY, ( www.putta.in )</t>
  </si>
  <si>
    <t>5.Circular Memo No. …….../…../HRM.IV/2021 dated: ………..2021</t>
  </si>
  <si>
    <t>6.G.O.Ms.No. …….. Finance(HRM.IV)Dept.,Dt. ………....2021</t>
  </si>
  <si>
    <t>his</t>
  </si>
  <si>
    <t>her</t>
  </si>
  <si>
    <t>Place of the Office/ School</t>
  </si>
  <si>
    <t>Name of the Office/ School</t>
  </si>
  <si>
    <t>MPPS SRM</t>
  </si>
  <si>
    <t>SG</t>
  </si>
  <si>
    <t>SPP-IA</t>
  </si>
  <si>
    <t>SPP-II</t>
  </si>
  <si>
    <t>Ordinary</t>
  </si>
  <si>
    <t>13000-390-14170-430-15460-470-16870-510-18400-550-20050-590-21820-640-23740-700-25840-760-28120-820-30580-880-33220-950-36070-1030-39160-1110-40270 (40)</t>
  </si>
  <si>
    <t>19000-640-20920-660-22900-690-24970-720-27130-750-29380-830-31870-940-34690-1030-37780-1110-41110-1190-44680-1280-48520-1400-52720-1500-57220-1630-58850 (40)</t>
  </si>
  <si>
    <t>13390-390-14170-430-15460-470-16870-510-18400-550-20050-590-21820-640-23740-700-25840-760-28120-820-30580-880-33220-950-36070-1030-39160-1110-41380 (40)</t>
  </si>
  <si>
    <t>19640-640-20920-660-22900-690-24970-720-27130-750-29380-830-31870-940-34690-1030-37780-1110-41110-1190-44680-1280-48520-1400-52720-1500-57220-1630-60480(40)</t>
  </si>
  <si>
    <t>13780-390-14170-430-15460-470-16870-510-18400-550-20050-590-21820-640-23740-700-25840-760-28120-820-30580-880-33220-950-36070-1030-39160-1110-42490 (40)</t>
  </si>
  <si>
    <t>20280-640-20920-660-22900-690-24970-720-27130-750-29380-830-31870-940-34690-1030-37780-1110-41110-1190-44680-1280-48520-1400-52720-1500-57220-1630-62110 (40)</t>
  </si>
  <si>
    <t>14600-430-15460-470-16870-510-18400-550-20050-590-21820-640-23740-700-25840-760-28120-820-30580-880-33220-950-36070-1030-39160-1110-42490-1190-44870 (40)</t>
  </si>
  <si>
    <t>21580-660-22900-690-24970-720-27130-750-29380-830-31870-940-34690-1030-37780-1110-41110-1190-44680-1280-48520-1400-52720-1500-57220-1630-62110-1730-65570(40)</t>
  </si>
  <si>
    <t>15030-430-15460-470-16870-510-18400-550-20050-590-21820-640-23740-700-25840-760-28120-820-30580-880-33220-950-36070-1030-39160-1110-42490-1190-46060 (40)</t>
  </si>
  <si>
    <t>22240-660-22900-690-24970-720-27130-750-29380-830-31870-940-34690-1030-37780-1110-41110-1190-44680-1280-48520-1400-52720-1500-57220-1630-62110-1730-67300 (40)</t>
  </si>
  <si>
    <t>15460-470-16870-510-18400-550-20050-590-21820-640-23740-700-25840-760-28120-820-30580-880 -33220-950-36070-1030-39160-1110-42490-1190-46060-1270-47330 (40)</t>
  </si>
  <si>
    <t>22900-690-24970-720-27130-750-29380-830-31870-940-34690-1030-37780-1110-41110-1190-44680-1280-48520-1400-52720-1500-57220-1630-62110-1730-67300-1850-69150 (40)</t>
  </si>
  <si>
    <t>16400-470-16870-510-18400-550-20050-590-21820-640-23740-700-25840-760-28120-820-30580-880-33220-950-36070-1030-39160-1110-42490-1190-46060-1270-49870-(40)</t>
  </si>
  <si>
    <t>24280-690-24970-720-27130-750-29380-830-31870-940-34690-1030-37780-1110-41110-1190-44680-1280-48520-1400-52720-1500-57220-1630-62110-1730-67300-1850-72850 (40)</t>
  </si>
  <si>
    <t>17890-510-18400-550-20050-590-21820-640-23740-700-25840-760-28120-820-30580-880-33220-950-36070-1030-39160-1110-42490-1190-46060-1270-49870-1360-53950 (40)</t>
  </si>
  <si>
    <t>26410-720-27130-750-29380-830-31870-940-34690-1030-37780-1110-41110-1190-44680-1280-48520-1400-52720-1500-57220-1630-62110-1730-67300-1850-72850-1990-78820 (40)</t>
  </si>
  <si>
    <t>18400-550-20050-590-21820-640-23740-700-25840-760-28120-820-30580-880-33220-950-36070-1030-39160-1110-42490-1190-46060-1270-49870-1360-53950-1460-55410 (40)</t>
  </si>
  <si>
    <t>27130-750-29380-830-31870-940-34690-1030-37780-1110-41110-1190-44680-1280-48520-1400-52720-1500-57220-1630-62110-1730-67300-1850-72850-1990-78820-2140-80960 (40)</t>
  </si>
  <si>
    <t>19500-550-20050-590-21820-640-23740-700-25840-760-28120-820-30580-880-33220-950-36070-1030-39160-1110-42490-1190-46060-1270-49870-1360-53950-1460-58330 (40)</t>
  </si>
  <si>
    <t>28630-750-29380-830-31870-940-34690-1030-37780-1110-41110-1190-44680-1280-48520-1400-52720-1500-57220-1630-62110-1730-67300-1850-72850-1990-78820-2140-85240 (40)</t>
  </si>
  <si>
    <t>21230-590-21820-640-23740-700-25840-760-28120-820-30580-880-33220-950-36070-1030-39160-1110-42490-1190-46060-1270-49870-1360-53950-1460-58330-1560-63010-(40)</t>
  </si>
  <si>
    <t>31040-830-31870-940-34690-1030-37780-1110-41110-1190-44680-1280-48520-1400-52720-1500-57220-1630-62110-1730-67300-1850-72850-1990-78820-2140-85240-2270-92050 (40)</t>
  </si>
  <si>
    <t>22460-640-23740-700-25840-760-28120-820-30580-880-33220-950-36070-1030-39160-1110-42490-1190-46060-1270-49870-1360-53950-1460-58330-1560-63010-1660-66330 (40)</t>
  </si>
  <si>
    <t>32810-940-34690-1030-37780-1110-41110-1190-44680-1280-48520-1400-52720-1500-57220-1630-62110-1730-67300-1850-72850-1990-78820-2140-85240-2270-92050-2420-96890 (40)</t>
  </si>
  <si>
    <t>23100-640-23740-700-25840-760-28120-820-30580-880-33220-950-36070-1030-39160-1110-42490-1190-46060-1270-49870-1360-53950-1460-58330-1560-63010-1660-67990 (40)</t>
  </si>
  <si>
    <t>33750-940-34690-1030-37780-1110-41110-1190-44680-1280-48520-1400-52720-1500-57220-1630-62110-1730-67300-1850-72850-1990-78820-2140-85240-2270-92050-2420-99310 (40)</t>
  </si>
  <si>
    <t>24440-700-25840-760-28120-820-30580-880-33220-950-36070-1030-39160-1110-42490-1190-46060-1270-49870-1360-53950-1460-58330-1560-63010-1660 -67990-1760-71510 (40)</t>
  </si>
  <si>
    <t>35720-1030-37780-1110-41110-1190-44680-1280-48520-1400-52720-1500-57220-1630-62110-1730-67300-1850-72850-1990-78820-2140-85240-2270-92050-2420-99310-2560-104430 (40)</t>
  </si>
  <si>
    <t>25140-700-25840-760-28120-820-30580-880-33220-950-36070-1030-39160-1110-42490-1190-46060-1270-49870-1360-53950-1460-58330-1560-63010-1660-67990-1760-73270 (40)</t>
  </si>
  <si>
    <t>36750-1030-37780-1110-41110-1190-44680-1280-48520-1400-52720-1500-57220-1630-62110-1730-67300-1850-72850-1990-78820-2140-85240-2270-92050-2420-99310-2560-106990 (40)</t>
  </si>
  <si>
    <t>26600-760-28120-820-30580-880-33220-950-36070-1030-39160-1110-42490-1190-46060-1270-49870-1360-53950-1460-58330-1560-63010-1660-67990-1760-73270-1880-77030 (40)</t>
  </si>
  <si>
    <t>38890-1110-41110-1190-44680-1280-48520-1400-52720-1500-57220-1630-62110-1730-67300-1850-72850-1990-78820-2140-85240-2270-92050-2420-99310-2560-106990-2760-112510 (40)</t>
  </si>
  <si>
    <t>28940-820-30580-880-33220-950-36070-1030-39160-1110-42490-1190-46060-1270-49870-1360-53950-1460-58330-1560-63010-1660-67990-1760-73270-1880-78910 (38)</t>
  </si>
  <si>
    <t>42300-1190-44680-1280-48520-1400-52720-1500-57220-1630-62110-1730-67300-1850-72850-1990-78820-2140-85240-2270-92050-2420-99310-2560-106990-2760-115270 (38)</t>
  </si>
  <si>
    <t>29760-820-30580-880-33220-950-36070-1030-39160-1110-42490-1190-46060-1270-49870-1360-53950-1460-58330-1560-63010-1660-67990-1760-73270-1880-78910-2020-80930 (38)</t>
  </si>
  <si>
    <t>43490-1190-44680-1280-48520-1400-52720-1500-57220-1630-62110-1730-67300-1850-72850-1990-78820-2140-85240-2270-92050-2420-99310-2560-106990-2760-115270-2960-118230 (38)</t>
  </si>
  <si>
    <t>31460-880-33220-950-36070-1030-39160-1110-42490-1190-46060-1270-49870-1360-53950-1460-58330-1560-63010-1660-67990-1760-73270-1880-78910-2020-84970 (38)</t>
  </si>
  <si>
    <t>45960-1280-48520-1400-52720-1500-57220-1630-62110-1730-67300-1850-72850-1990-78820-2140-85240-2270-92050-2420-99310-2560-106990-2760-115270-2960-124150 (38)</t>
  </si>
  <si>
    <t>35120-950-36070-1030-39160-1110-42490-1190-46060-1270-49870-1360-53950-1460-58330-1560-63010-1660-67990-1760-73270-1880-78910-2020-84970–2160–87130 (35)</t>
  </si>
  <si>
    <t>51320-1400-52720-1500-57220-1630-62110-1730-67300-1850-72850-1990-78820-2140-85240-2270-92050-2420-99310-2560-106990-2760-115270-2960-124150-3160-127310 (35)</t>
  </si>
  <si>
    <t>37100-1030-39160-1110-42490-1190-46060-1270-49870-1360-53950-1460-58330-1560-63010-1660-67990-1760-73270-1880-78910-2020-84970-2160-91450 (35)</t>
  </si>
  <si>
    <t>54220-1500-57220-1630-62110-1730-67300-1850-72850-1990-78820-2140-85240-2270-92050-2420-99310-2560-106990-2760-115270-2960-124150-3160-133630 (35)</t>
  </si>
  <si>
    <t>40270-1110-42490-1190-46060-1270-49870-1360-53950-1460-58330-1560-63010-1660-67990-1760-73270-1880-78910-2020-84970-2160-91450-2330-93780 (33)</t>
  </si>
  <si>
    <t>58850-1630-62110-1730-67300-1850-72850-1990-78820-2140-85240-2270-92050-2420-99310-2560-106990-2760-115270-2960-124150-3160-133630-3420-137050 (33)</t>
  </si>
  <si>
    <t>42490-1190-46060-1270-49870-1360-53950-1460-58330-1560-63010-1660-67990-1760-73270-1880-78910-2020-84970-2160-91450-2330-96110 (32)</t>
  </si>
  <si>
    <t>62110-1730-67300-1850-72850-1990-78820-2140-85240-2270-92050-2420-99310-2560-106990-2760-115270-2960-124150-3160-133630-3420-140470 (32)</t>
  </si>
  <si>
    <t>46060-1270-49870-1360-53950-1460-58330-1560-63010-1660-67990-1760-73270-1880-78910-2020-84970-2160-91450-2330-98440 (30)</t>
  </si>
  <si>
    <t>67300-1850-72850-1990-78820-2140-85240-2270-92050-2420-99310-2560-106990-2760-115270-2960-124150-3160-133630-3420-143890 (30)</t>
  </si>
  <si>
    <t>49870-1360-53950-1460-58330-1560-63010-1660-67990-1760-73270-1880-78910-2020-84970-2160-91450-2330-100770 (28)</t>
  </si>
  <si>
    <t>72850-1990-78820-2140-85240-2270-92050-2420-99310-2560-106990-2760-115270-2960-124150-3160-133630-3420-147310 (28)</t>
  </si>
  <si>
    <t>52590-1360-53950-1460-58330-1560-63010-1660-67990-1760-73270-1880-78910-2020-84970-2160-91450-2330-100770-2520-103290 (27)</t>
  </si>
  <si>
    <t>76830-1990-78820-2140-85240-2270-92050-2420-99310-2560-106990-2760-115270-2960-124150-3160-133630-3420-147310-3690-151000 (27)</t>
  </si>
  <si>
    <t>56870-1460-58330-1560-63010-1660-67990-1760-73270-1880-78910-2020-84970-2160–91450-2330-100770-2520-105810 (25)</t>
  </si>
  <si>
    <t>83100-2140-85240-2270-92050-2420-99310-2560-106990-2760-115270-2960-124150-3160-133630-3420-147310-3690-154690 (25)</t>
  </si>
  <si>
    <t>61450-1560-63010-1660-67990-1760-73270-1880-78910-2020-84970-2160-91450-2330- 100770-2520-105810 (22)</t>
  </si>
  <si>
    <t>89780-2270-92050-2420-99310-2560-106990-2760-115270-2960-124150-3160-133630-3420-147310-3690-154690 (22)</t>
  </si>
  <si>
    <t>66330-1660-67990-1760-73270-1880-78910-2020-84970-2160-91450-2330-100770-2520–108330 (20)</t>
  </si>
  <si>
    <t>96890-2420-99310-2560-106990-2760-115270-2960-124150-3160-133630-3420-147310-3690-158380 (20)</t>
  </si>
  <si>
    <t>73270-1880-78910-2020-84970-2160-91450-2330-100770-2520-108330 (16)</t>
  </si>
  <si>
    <t>106990-2760-115270-2960-124150-3160-133630-3420-147310-3690-158380 (16)</t>
  </si>
  <si>
    <t>80930-2020- 84970-2160-91450-2330-100770-2520-110850 (13)</t>
  </si>
  <si>
    <t>118230-2960-124150-3160-133630-3420-147310-3690-162070(13)</t>
  </si>
  <si>
    <t>87130-2160-91450-2330-100770-2520-110850 (10)</t>
  </si>
  <si>
    <t>127310-3160-133630-3420-147310-3690-162070(10)</t>
  </si>
  <si>
    <t>PF Type</t>
  </si>
  <si>
    <t>CPS</t>
  </si>
  <si>
    <t>ZPGPF</t>
  </si>
  <si>
    <t>AGGPF</t>
  </si>
  <si>
    <t>Class iV GPF</t>
  </si>
  <si>
    <t>No PF</t>
  </si>
  <si>
    <t>CPS difference</t>
  </si>
  <si>
    <t>SL</t>
  </si>
  <si>
    <t>DA RPS15</t>
  </si>
  <si>
    <t>Final</t>
  </si>
  <si>
    <t xml:space="preserve">Part - I Notional  (Period from 01.07.2018 to 31.03.2020) </t>
  </si>
  <si>
    <t xml:space="preserve">Part - II Arrears Payable on retirement  (Period from 01.04.2020 to 31.03.2021) </t>
  </si>
  <si>
    <t xml:space="preserve">Total Part - I Notional  (Period from 01.07.2018 to 31.03.2020) </t>
  </si>
  <si>
    <t>Part - II Arrears Payable on retirement  (Period from 01.04.2020 to 31.03.2021) Total</t>
  </si>
  <si>
    <t>Apr,21</t>
  </si>
  <si>
    <t>May,21</t>
  </si>
  <si>
    <t>June,21</t>
  </si>
  <si>
    <t>Jul,21</t>
  </si>
  <si>
    <t>Aug,21</t>
  </si>
  <si>
    <t>Sep,21</t>
  </si>
  <si>
    <t>Oct,21</t>
  </si>
  <si>
    <t>Nov,21</t>
  </si>
  <si>
    <t>Dec,21</t>
  </si>
  <si>
    <t>Prefared and Devolped by</t>
  </si>
  <si>
    <t>PUTTA SRINIVAS REDDY</t>
  </si>
  <si>
    <t>cnureddyputta@gmail.com</t>
  </si>
  <si>
    <t>98490 25860</t>
  </si>
  <si>
    <t>From 1-7-2018 to 31.03.2020 (Notional)</t>
  </si>
  <si>
    <t>Arrears</t>
  </si>
  <si>
    <t>To be Pay</t>
  </si>
  <si>
    <t>Already drwan Pay</t>
  </si>
  <si>
    <t>To be DA</t>
  </si>
  <si>
    <t>Already DA</t>
  </si>
  <si>
    <t>To be HRA</t>
  </si>
  <si>
    <t>already HRA</t>
  </si>
  <si>
    <t>Basic</t>
  </si>
  <si>
    <t>www.putta.in</t>
  </si>
  <si>
    <t>Standard Allowance Details</t>
  </si>
  <si>
    <t>Revised Allowance Details</t>
  </si>
  <si>
    <t>RPS 2015</t>
  </si>
  <si>
    <t>As Per</t>
  </si>
  <si>
    <t>SCA</t>
  </si>
  <si>
    <t>AHRA</t>
  </si>
  <si>
    <t xml:space="preserve">Higher Class </t>
  </si>
  <si>
    <t>HRA as on option</t>
  </si>
  <si>
    <t>Scale of Pay as on option</t>
  </si>
  <si>
    <t>RPS 2021</t>
  </si>
  <si>
    <t>AAS</t>
  </si>
  <si>
    <t>Pays in RPS 2015</t>
  </si>
  <si>
    <t>Fitment @ 30%  :   Rs.</t>
  </si>
  <si>
    <t>Fitment benifi 30% of Basic Pay referred to in item 7(a)</t>
  </si>
  <si>
    <t xml:space="preserve">Part - III Net Payable (Period from 01.04.2021) </t>
  </si>
  <si>
    <t>Existing Scale of Pay in RPS 2015</t>
  </si>
  <si>
    <t xml:space="preserve">Pay Raised Due to </t>
  </si>
  <si>
    <t>Option date</t>
  </si>
  <si>
    <t>on oprtion CCA</t>
  </si>
  <si>
    <t>FPI + Addl</t>
  </si>
  <si>
    <t>S. No</t>
  </si>
  <si>
    <t>SPP-IB</t>
  </si>
  <si>
    <t>1.G.O.Ms.No. 51 Finance (HRM.IV) Dept.,Dt. 11.06.2021</t>
  </si>
  <si>
    <t>2.G.O.Ms.No. 52 Finance (HRM.IV) Dept.,Dt. 11.06.2021</t>
  </si>
  <si>
    <t>3.G.O.Ms.No. 53 Finance (HRM.IV) Dept.,Dt. 11.06.2021</t>
  </si>
  <si>
    <t>4.G.O.Ms.No. 54 Finance (HRM.IV) Dept.,Dt. 11.06.2021</t>
  </si>
  <si>
    <t>Part - III Payable in the FY 2021-22  (Period from 01.04.2021 to 31.05.2021) Total</t>
  </si>
  <si>
    <t>Part - III Net Payable (Period from 01.06.2021) Total</t>
  </si>
  <si>
    <t xml:space="preserve">Pay Fixed in RPS,2020  :   Rs. </t>
  </si>
  <si>
    <r>
      <t xml:space="preserve">        As per reference 5</t>
    </r>
    <r>
      <rPr>
        <vertAlign val="superscript"/>
        <sz val="11"/>
        <rFont val="Times New Roman"/>
        <family val="1"/>
      </rPr>
      <t>th</t>
    </r>
    <r>
      <rPr>
        <sz val="11"/>
        <rFont val="Times New Roman"/>
        <family val="1"/>
      </rPr>
      <t xml:space="preserve"> cited above the monetary benefit is allowed notionally from 01.07.2018 to 31.03.2020. Monetory benefit w.e.f 01.04.2020, the arrears from 01.04.2020 to 31.03.2021 are to be paid as retirement benefit, for the arrears of 01.04.2021 to 31.05.2021 are payable in the FY 2021-22 and revised salary pay ble from June,2021 payable in July, 2021.</t>
    </r>
  </si>
  <si>
    <t xml:space="preserve">Pay Scales of, 2020 from 1-7-2018 or the </t>
  </si>
  <si>
    <t>Statement of Fixation of Pay under Telangana State 1st Revised Scales of Pay Rules,2020</t>
  </si>
  <si>
    <r>
      <t xml:space="preserve">        In the Government order 1</t>
    </r>
    <r>
      <rPr>
        <vertAlign val="superscript"/>
        <sz val="11"/>
        <rFont val="Times New Roman"/>
        <family val="1"/>
      </rPr>
      <t>st</t>
    </r>
    <r>
      <rPr>
        <sz val="11"/>
        <rFont val="Times New Roman"/>
        <family val="1"/>
      </rPr>
      <t xml:space="preserve"> read above the pay scales of employees of state Government including Local Bodies have been revised in revision of Pay Scales, 2020 with effect from the date 01.07.2018 or date of next increment for the option exercised by the individual.</t>
    </r>
  </si>
  <si>
    <t>Whether the employee has opted to the Revised Pay Scales of, 2020                                                                :</t>
  </si>
  <si>
    <t>ExistingScale of Pay of the post on the date of entry into the Revised Pay Scales, 2020.</t>
  </si>
  <si>
    <t>Pay in the Existing Scale (i.e RPS,2020)</t>
  </si>
  <si>
    <t>Special Pay, if any (i.e. RPS,2020)</t>
  </si>
  <si>
    <t>Existing Emoluments on the date of entry into Revised Pay Scales,2020</t>
  </si>
  <si>
    <t>The Revised Scale of Pay,2020 for the post in which the Pay is fixed now.                                                     :</t>
  </si>
  <si>
    <t>Scale, 2020 Y</t>
  </si>
  <si>
    <t>(under FR/ts.RSPR,2020)</t>
  </si>
  <si>
    <t>2020 in the lower/substantive post</t>
  </si>
  <si>
    <t xml:space="preserve">The pay fixed in the Revised Pay Scales,2020 in </t>
  </si>
  <si>
    <r>
      <rPr>
        <sz val="10"/>
        <color indexed="10"/>
        <rFont val="Times New Roman"/>
        <family val="1"/>
      </rPr>
      <t>Revised Scales of Pay Rules,2020</t>
    </r>
    <r>
      <rPr>
        <sz val="10"/>
        <rFont val="Times New Roman"/>
        <family val="1"/>
      </rPr>
      <t xml:space="preserve"> in case whether the </t>
    </r>
  </si>
  <si>
    <t>Revised Pay Scales, 2020</t>
  </si>
  <si>
    <t>From 01.04.2021 to 31.05.2021                                                                            (Arrears will be paid in FY 2021-22)</t>
  </si>
  <si>
    <r>
      <t xml:space="preserve">From 01.04.2020 to 31.03.2021                                                                            </t>
    </r>
    <r>
      <rPr>
        <b/>
        <sz val="12"/>
        <color theme="1"/>
        <rFont val="Times New Roman"/>
        <family val="1"/>
      </rPr>
      <t>(Arrears will be paid on retirement)</t>
    </r>
  </si>
  <si>
    <t>The amount of pay fixed in Revised Pay Scales, 2020</t>
  </si>
  <si>
    <t>From 01.06.2021 to till date (Paid in cash)</t>
  </si>
  <si>
    <t>REVISED SCALES OF PAY RULES,2020</t>
  </si>
  <si>
    <t>Revised Scale of Pay in RPS 2020</t>
  </si>
  <si>
    <t>Substantive / Officiating</t>
  </si>
  <si>
    <t>Revised Pays in RPS 2020</t>
  </si>
  <si>
    <t>Developed By PUTTA SREENIVAS REDDY,  ( www.putta.in )</t>
  </si>
  <si>
    <t>……………………………………………………………………………………………………………………..</t>
  </si>
  <si>
    <t>(as on option)</t>
  </si>
  <si>
    <t>(Circular Memo No. …………………………………….. dated: ………..2021)</t>
  </si>
  <si>
    <t>1.Mulugu, 2. Bhupalapally, 3. Mahaboobabad, 4. Narayanpet, 5. Medak, 6. Asifabad, 7. Peddapalli, 8. Nagarkurnool, 9. Shamirpet (Medchal Malkajgiri Dist), 10. Shamshabad (R.R.Dist.)</t>
  </si>
  <si>
    <t>Please verify your fixation with expert</t>
  </si>
  <si>
    <t>Retirement</t>
  </si>
  <si>
    <t>Are you retired form the service before 31.03.2021</t>
  </si>
  <si>
    <t>Dec, 2020</t>
  </si>
  <si>
    <t>Without availing July, 18 Increment</t>
  </si>
  <si>
    <t>Aug, 2018</t>
  </si>
  <si>
    <t>Basic Pay Changes                                                                          www.putta.in</t>
  </si>
</sst>
</file>

<file path=xl/styles.xml><?xml version="1.0" encoding="utf-8"?>
<styleSheet xmlns="http://schemas.openxmlformats.org/spreadsheetml/2006/main">
  <numFmts count="7">
    <numFmt numFmtId="43" formatCode="_(* #,##0.00_);_(* \(#,##0.00\);_(* &quot;-&quot;??_);_(@_)"/>
    <numFmt numFmtId="164" formatCode="_ * #,##0.00_ ;_ * \-#,##0.00_ ;_ * &quot;-&quot;??_ ;_ @_ "/>
    <numFmt numFmtId="165" formatCode="[$-409]mmmm\ d\,\ yyyy;@"/>
    <numFmt numFmtId="166" formatCode="[$-1010000]d/m/yyyy;@"/>
    <numFmt numFmtId="167" formatCode="0.00_);\(0.00\)"/>
    <numFmt numFmtId="168" formatCode="[$-F800]dddd\,\ mmmm\ dd\,\ yyyy"/>
    <numFmt numFmtId="169" formatCode="0.000"/>
  </numFmts>
  <fonts count="55">
    <font>
      <sz val="11"/>
      <color theme="1"/>
      <name val="Calibri"/>
      <family val="2"/>
      <scheme val="minor"/>
    </font>
    <font>
      <sz val="11"/>
      <color theme="1"/>
      <name val="Calibri"/>
      <family val="2"/>
      <scheme val="minor"/>
    </font>
    <font>
      <b/>
      <sz val="11"/>
      <color theme="1"/>
      <name val="Calibri"/>
      <family val="2"/>
      <scheme val="minor"/>
    </font>
    <font>
      <sz val="11"/>
      <name val="Tahoma"/>
      <family val="2"/>
    </font>
    <font>
      <sz val="11"/>
      <name val="Times New Roman"/>
      <family val="1"/>
    </font>
    <font>
      <sz val="12"/>
      <name val="Times New Roman"/>
      <family val="1"/>
    </font>
    <font>
      <sz val="11"/>
      <color rgb="FFFF0000"/>
      <name val="Times New Roman"/>
      <family val="1"/>
    </font>
    <font>
      <vertAlign val="superscript"/>
      <sz val="11"/>
      <name val="Times New Roman"/>
      <family val="1"/>
    </font>
    <font>
      <b/>
      <sz val="11"/>
      <name val="Times New Roman"/>
      <family val="1"/>
    </font>
    <font>
      <sz val="10"/>
      <name val="Times New Roman"/>
      <family val="1"/>
    </font>
    <font>
      <sz val="8"/>
      <name val="Times New Roman"/>
      <family val="1"/>
    </font>
    <font>
      <b/>
      <sz val="10"/>
      <name val="Times New Roman"/>
      <family val="1"/>
    </font>
    <font>
      <sz val="14"/>
      <name val="Times New Roman"/>
      <family val="1"/>
    </font>
    <font>
      <sz val="16"/>
      <name val="Times New Roman"/>
      <family val="1"/>
    </font>
    <font>
      <sz val="13"/>
      <name val="Times New Roman"/>
      <family val="1"/>
    </font>
    <font>
      <sz val="18"/>
      <color indexed="10"/>
      <name val="Times New Roman"/>
      <family val="1"/>
    </font>
    <font>
      <sz val="10"/>
      <color indexed="10"/>
      <name val="Times New Roman"/>
      <family val="1"/>
    </font>
    <font>
      <sz val="18"/>
      <name val="Times New Roman"/>
      <family val="1"/>
    </font>
    <font>
      <sz val="12"/>
      <color rgb="FFFF0000"/>
      <name val="Times New Roman"/>
      <family val="1"/>
    </font>
    <font>
      <sz val="11"/>
      <color indexed="10"/>
      <name val="Times New Roman"/>
      <family val="1"/>
    </font>
    <font>
      <b/>
      <sz val="10"/>
      <color theme="1"/>
      <name val="Calibri"/>
      <family val="2"/>
      <scheme val="minor"/>
    </font>
    <font>
      <b/>
      <sz val="12"/>
      <color theme="1"/>
      <name val="Calibri"/>
      <family val="2"/>
      <scheme val="minor"/>
    </font>
    <font>
      <b/>
      <sz val="12"/>
      <color rgb="FFFF0000"/>
      <name val="Calibri"/>
      <family val="2"/>
      <scheme val="minor"/>
    </font>
    <font>
      <b/>
      <sz val="14"/>
      <color theme="0" tint="-4.9989318521683403E-2"/>
      <name val="Calibri"/>
      <family val="2"/>
      <scheme val="minor"/>
    </font>
    <font>
      <b/>
      <sz val="12"/>
      <name val="Calibri"/>
      <family val="2"/>
      <scheme val="minor"/>
    </font>
    <font>
      <b/>
      <sz val="11"/>
      <name val="Calibri"/>
      <family val="2"/>
      <scheme val="minor"/>
    </font>
    <font>
      <b/>
      <sz val="18"/>
      <color theme="0"/>
      <name val="Calibri"/>
      <family val="2"/>
      <scheme val="minor"/>
    </font>
    <font>
      <b/>
      <sz val="16"/>
      <color theme="0"/>
      <name val="Calibri"/>
      <family val="2"/>
      <scheme val="minor"/>
    </font>
    <font>
      <b/>
      <sz val="10"/>
      <name val="Bookman Old Style"/>
      <family val="1"/>
    </font>
    <font>
      <b/>
      <sz val="16"/>
      <color theme="1"/>
      <name val="Calibri"/>
      <family val="2"/>
      <scheme val="minor"/>
    </font>
    <font>
      <b/>
      <sz val="14"/>
      <name val="Calibri"/>
      <family val="2"/>
      <scheme val="minor"/>
    </font>
    <font>
      <b/>
      <u/>
      <sz val="14"/>
      <color rgb="FFFF0000"/>
      <name val="Calibri"/>
      <family val="2"/>
      <scheme val="minor"/>
    </font>
    <font>
      <u/>
      <sz val="11"/>
      <color theme="10"/>
      <name val="Calibri"/>
      <family val="2"/>
      <scheme val="minor"/>
    </font>
    <font>
      <b/>
      <sz val="13.5"/>
      <color rgb="FFFF0000"/>
      <name val="Calibri"/>
      <family val="2"/>
      <scheme val="minor"/>
    </font>
    <font>
      <b/>
      <sz val="18"/>
      <color theme="0" tint="-4.9989318521683403E-2"/>
      <name val="Calibri"/>
      <family val="2"/>
      <scheme val="minor"/>
    </font>
    <font>
      <b/>
      <sz val="12"/>
      <name val="Times New Roman"/>
      <family val="1"/>
    </font>
    <font>
      <b/>
      <sz val="22"/>
      <color rgb="FFFF0000"/>
      <name val="Calibri"/>
      <family val="2"/>
      <scheme val="minor"/>
    </font>
    <font>
      <b/>
      <sz val="14"/>
      <color theme="1"/>
      <name val="Calibri"/>
      <family val="2"/>
      <scheme val="minor"/>
    </font>
    <font>
      <b/>
      <sz val="18"/>
      <color theme="1"/>
      <name val="Calibri"/>
      <family val="2"/>
      <scheme val="minor"/>
    </font>
    <font>
      <b/>
      <sz val="20"/>
      <color theme="0"/>
      <name val="Calibri"/>
      <family val="2"/>
      <scheme val="minor"/>
    </font>
    <font>
      <sz val="11"/>
      <name val="Calibri"/>
      <family val="2"/>
      <scheme val="minor"/>
    </font>
    <font>
      <b/>
      <sz val="10"/>
      <name val="Calibri"/>
      <family val="2"/>
      <scheme val="minor"/>
    </font>
    <font>
      <sz val="13"/>
      <name val="Tahoma"/>
      <family val="2"/>
    </font>
    <font>
      <b/>
      <sz val="9"/>
      <color theme="1"/>
      <name val="Calibri"/>
      <family val="2"/>
      <scheme val="minor"/>
    </font>
    <font>
      <b/>
      <sz val="8"/>
      <color theme="1"/>
      <name val="Calibri"/>
      <family val="2"/>
      <scheme val="minor"/>
    </font>
    <font>
      <b/>
      <sz val="9"/>
      <name val="Calibri"/>
      <family val="2"/>
      <scheme val="minor"/>
    </font>
    <font>
      <b/>
      <sz val="8"/>
      <name val="Calibri"/>
      <family val="2"/>
      <scheme val="minor"/>
    </font>
    <font>
      <sz val="10"/>
      <color rgb="FFFF0000"/>
      <name val="Times New Roman"/>
      <family val="1"/>
    </font>
    <font>
      <b/>
      <sz val="18"/>
      <name val="Calibri"/>
      <family val="2"/>
      <scheme val="minor"/>
    </font>
    <font>
      <b/>
      <sz val="10"/>
      <color theme="1"/>
      <name val="Times New Roman"/>
      <family val="1"/>
    </font>
    <font>
      <b/>
      <sz val="11"/>
      <color theme="1"/>
      <name val="Times New Roman"/>
      <family val="1"/>
    </font>
    <font>
      <b/>
      <sz val="12"/>
      <color theme="1"/>
      <name val="Times New Roman"/>
      <family val="1"/>
    </font>
    <font>
      <b/>
      <sz val="10"/>
      <name val="Monotype Corsiva"/>
      <family val="4"/>
    </font>
    <font>
      <b/>
      <sz val="11"/>
      <color rgb="FFFF0000"/>
      <name val="Calibri"/>
      <family val="2"/>
      <scheme val="minor"/>
    </font>
    <font>
      <b/>
      <sz val="22"/>
      <color theme="0" tint="-4.9989318521683403E-2"/>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002060"/>
        <bgColor indexed="64"/>
      </patternFill>
    </fill>
    <fill>
      <patternFill patternType="solid">
        <fgColor theme="7" tint="0.59999389629810485"/>
        <bgColor indexed="64"/>
      </patternFill>
    </fill>
    <fill>
      <patternFill patternType="solid">
        <fgColor theme="4" tint="-0.249977111117893"/>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rgb="FFFFFF00"/>
        <bgColor indexed="64"/>
      </patternFill>
    </fill>
    <fill>
      <patternFill patternType="solid">
        <fgColor rgb="FFFF99CC"/>
        <bgColor indexed="64"/>
      </patternFill>
    </fill>
  </fills>
  <borders count="1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tted">
        <color rgb="FFFF0000"/>
      </left>
      <right style="dotted">
        <color rgb="FFFF0000"/>
      </right>
      <top style="dotted">
        <color rgb="FFFF0000"/>
      </top>
      <bottom style="dotted">
        <color rgb="FFFF0000"/>
      </bottom>
      <diagonal/>
    </border>
    <border>
      <left style="medium">
        <color indexed="64"/>
      </left>
      <right style="medium">
        <color indexed="64"/>
      </right>
      <top style="dotted">
        <color rgb="FFFF0000"/>
      </top>
      <bottom style="dotted">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dotted">
        <color rgb="FFFF0000"/>
      </right>
      <top/>
      <bottom/>
      <diagonal/>
    </border>
    <border>
      <left/>
      <right/>
      <top/>
      <bottom style="dotted">
        <color rgb="FFFF0000"/>
      </bottom>
      <diagonal/>
    </border>
    <border>
      <left/>
      <right style="dotted">
        <color rgb="FFFF0000"/>
      </right>
      <top/>
      <bottom style="dotted">
        <color rgb="FFFF0000"/>
      </bottom>
      <diagonal/>
    </border>
    <border>
      <left style="dotted">
        <color rgb="FFFF0000"/>
      </left>
      <right/>
      <top style="dotted">
        <color rgb="FFFF0000"/>
      </top>
      <bottom style="dotted">
        <color rgb="FFFF0000"/>
      </bottom>
      <diagonal/>
    </border>
    <border>
      <left style="dotted">
        <color rgb="FFFF0000"/>
      </left>
      <right/>
      <top style="dotted">
        <color rgb="FFFF0000"/>
      </top>
      <bottom/>
      <diagonal/>
    </border>
    <border>
      <left style="medium">
        <color indexed="64"/>
      </left>
      <right/>
      <top style="medium">
        <color indexed="64"/>
      </top>
      <bottom style="dotted">
        <color rgb="FFFF0000"/>
      </bottom>
      <diagonal/>
    </border>
    <border>
      <left style="dotted">
        <color rgb="FFFF0000"/>
      </left>
      <right/>
      <top style="medium">
        <color indexed="64"/>
      </top>
      <bottom style="dotted">
        <color rgb="FFFF0000"/>
      </bottom>
      <diagonal/>
    </border>
    <border>
      <left style="dotted">
        <color rgb="FFFF0000"/>
      </left>
      <right style="medium">
        <color indexed="64"/>
      </right>
      <top style="medium">
        <color indexed="64"/>
      </top>
      <bottom style="dotted">
        <color rgb="FFFF0000"/>
      </bottom>
      <diagonal/>
    </border>
    <border>
      <left style="medium">
        <color indexed="64"/>
      </left>
      <right/>
      <top style="dotted">
        <color rgb="FFFF0000"/>
      </top>
      <bottom style="dotted">
        <color rgb="FFFF0000"/>
      </bottom>
      <diagonal/>
    </border>
    <border>
      <left style="medium">
        <color indexed="64"/>
      </left>
      <right style="medium">
        <color indexed="64"/>
      </right>
      <top style="dotted">
        <color rgb="FFFF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bottom/>
      <diagonal/>
    </border>
    <border>
      <left style="medium">
        <color indexed="64"/>
      </left>
      <right style="hair">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style="medium">
        <color indexed="64"/>
      </top>
      <bottom style="medium">
        <color indexed="64"/>
      </bottom>
      <diagonal/>
    </border>
    <border>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bottom/>
      <diagonal/>
    </border>
  </borders>
  <cellStyleXfs count="3">
    <xf numFmtId="0" fontId="0" fillId="0" borderId="0"/>
    <xf numFmtId="164" fontId="1" fillId="0" borderId="0" applyFont="0" applyFill="0" applyBorder="0" applyAlignment="0" applyProtection="0"/>
    <xf numFmtId="0" fontId="32" fillId="0" borderId="0" applyNumberFormat="0" applyFill="0" applyBorder="0" applyAlignment="0" applyProtection="0"/>
  </cellStyleXfs>
  <cellXfs count="774">
    <xf numFmtId="0" fontId="0" fillId="0" borderId="0" xfId="0"/>
    <xf numFmtId="0" fontId="4" fillId="0" borderId="0" xfId="0" applyFont="1" applyAlignment="1" applyProtection="1">
      <alignment vertical="center"/>
      <protection hidden="1"/>
    </xf>
    <xf numFmtId="165" fontId="4" fillId="0" borderId="0" xfId="0" applyNumberFormat="1" applyFont="1" applyAlignment="1" applyProtection="1">
      <alignment vertical="center" wrapText="1"/>
      <protection hidden="1"/>
    </xf>
    <xf numFmtId="0" fontId="4" fillId="0" borderId="0" xfId="0" applyFont="1" applyAlignment="1" applyProtection="1">
      <alignment vertical="center" wrapText="1"/>
      <protection hidden="1"/>
    </xf>
    <xf numFmtId="0" fontId="9" fillId="0" borderId="0" xfId="0" applyFont="1" applyAlignment="1" applyProtection="1">
      <alignment vertical="center"/>
      <protection hidden="1"/>
    </xf>
    <xf numFmtId="0" fontId="10" fillId="0" borderId="0" xfId="0" applyFont="1" applyAlignment="1" applyProtection="1">
      <alignment vertical="center"/>
      <protection hidden="1"/>
    </xf>
    <xf numFmtId="0" fontId="11" fillId="0" borderId="0" xfId="0" applyFont="1" applyBorder="1" applyAlignment="1" applyProtection="1">
      <alignment vertical="center" wrapText="1"/>
      <protection hidden="1"/>
    </xf>
    <xf numFmtId="0" fontId="5" fillId="0" borderId="0" xfId="0" applyFont="1" applyAlignment="1" applyProtection="1">
      <alignment vertical="center"/>
      <protection hidden="1"/>
    </xf>
    <xf numFmtId="166" fontId="5" fillId="0" borderId="0" xfId="0" applyNumberFormat="1" applyFont="1" applyAlignment="1" applyProtection="1">
      <alignment vertical="center"/>
      <protection hidden="1"/>
    </xf>
    <xf numFmtId="0" fontId="5" fillId="0" borderId="0" xfId="0" applyFont="1" applyAlignment="1" applyProtection="1">
      <alignment horizontal="right" vertical="center"/>
      <protection hidden="1"/>
    </xf>
    <xf numFmtId="0" fontId="5" fillId="0" borderId="0" xfId="0" applyFont="1" applyAlignment="1" applyProtection="1">
      <protection hidden="1"/>
    </xf>
    <xf numFmtId="0" fontId="5" fillId="0" borderId="0" xfId="0" applyFont="1" applyAlignment="1" applyProtection="1">
      <alignment vertical="center" wrapText="1"/>
      <protection hidden="1"/>
    </xf>
    <xf numFmtId="0" fontId="4" fillId="0" borderId="0" xfId="0" applyFont="1" applyAlignment="1" applyProtection="1">
      <alignment horizontal="left" vertical="center"/>
      <protection hidden="1"/>
    </xf>
    <xf numFmtId="0" fontId="4" fillId="0" borderId="4" xfId="0" applyFont="1" applyBorder="1" applyAlignment="1" applyProtection="1">
      <alignment vertical="center" wrapText="1"/>
      <protection hidden="1"/>
    </xf>
    <xf numFmtId="0" fontId="9" fillId="0" borderId="4"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4" xfId="0" applyFont="1" applyBorder="1" applyAlignment="1" applyProtection="1">
      <alignment vertical="center" wrapText="1"/>
      <protection hidden="1"/>
    </xf>
    <xf numFmtId="0" fontId="9" fillId="0" borderId="4" xfId="0" applyFont="1" applyBorder="1" applyAlignment="1" applyProtection="1">
      <alignment vertical="center"/>
      <protection hidden="1"/>
    </xf>
    <xf numFmtId="0" fontId="9"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4" fillId="0" borderId="0" xfId="0" applyFont="1" applyAlignment="1" applyProtection="1">
      <alignment vertical="top"/>
      <protection hidden="1"/>
    </xf>
    <xf numFmtId="0" fontId="4" fillId="0" borderId="0" xfId="0" applyFont="1" applyAlignment="1" applyProtection="1">
      <alignment horizontal="left" vertical="center" wrapText="1"/>
      <protection hidden="1"/>
    </xf>
    <xf numFmtId="0" fontId="6" fillId="0" borderId="0" xfId="0" applyFont="1" applyAlignment="1" applyProtection="1">
      <alignment vertical="center"/>
      <protection hidden="1"/>
    </xf>
    <xf numFmtId="168" fontId="4" fillId="0" borderId="0" xfId="0" applyNumberFormat="1" applyFont="1" applyAlignment="1" applyProtection="1">
      <alignment vertical="center"/>
      <protection hidden="1"/>
    </xf>
    <xf numFmtId="0" fontId="9" fillId="0" borderId="4" xfId="0" applyFont="1" applyBorder="1" applyAlignment="1" applyProtection="1">
      <alignment horizontal="center" vertical="center" wrapText="1"/>
      <protection hidden="1"/>
    </xf>
    <xf numFmtId="0" fontId="4" fillId="0" borderId="0" xfId="0" applyFont="1" applyAlignment="1" applyProtection="1">
      <alignment horizontal="justify" vertical="center"/>
      <protection hidden="1"/>
    </xf>
    <xf numFmtId="0" fontId="2" fillId="3" borderId="68" xfId="0" applyFont="1" applyFill="1" applyBorder="1" applyAlignment="1" applyProtection="1">
      <alignment horizontal="center" vertical="center"/>
      <protection locked="0"/>
    </xf>
    <xf numFmtId="0" fontId="2" fillId="3" borderId="32" xfId="0" applyFont="1" applyFill="1" applyBorder="1" applyAlignment="1" applyProtection="1">
      <alignment horizontal="center" vertical="center"/>
      <protection locked="0"/>
    </xf>
    <xf numFmtId="0" fontId="2" fillId="6" borderId="62" xfId="0" applyFont="1" applyFill="1" applyBorder="1" applyAlignment="1" applyProtection="1">
      <alignment horizontal="center" vertical="center"/>
      <protection locked="0"/>
    </xf>
    <xf numFmtId="0" fontId="2" fillId="6" borderId="59" xfId="0" applyFont="1" applyFill="1" applyBorder="1" applyAlignment="1" applyProtection="1">
      <alignment horizontal="center" vertical="center"/>
      <protection locked="0"/>
    </xf>
    <xf numFmtId="0" fontId="2" fillId="6" borderId="19" xfId="0" applyFont="1" applyFill="1" applyBorder="1" applyAlignment="1" applyProtection="1">
      <alignment horizontal="center" vertical="center"/>
      <protection locked="0"/>
    </xf>
    <xf numFmtId="0" fontId="2" fillId="5" borderId="0" xfId="0" applyFont="1" applyFill="1" applyAlignment="1" applyProtection="1">
      <alignment vertical="center"/>
      <protection hidden="1"/>
    </xf>
    <xf numFmtId="0" fontId="2" fillId="4" borderId="0" xfId="0" applyFont="1" applyFill="1" applyAlignment="1" applyProtection="1">
      <alignment vertical="center"/>
      <protection hidden="1"/>
    </xf>
    <xf numFmtId="0" fontId="2" fillId="5" borderId="61" xfId="0" applyFont="1" applyFill="1" applyBorder="1" applyAlignment="1" applyProtection="1">
      <alignment vertical="center"/>
      <protection hidden="1"/>
    </xf>
    <xf numFmtId="0" fontId="2" fillId="5" borderId="47" xfId="0" applyFont="1" applyFill="1" applyBorder="1" applyAlignment="1" applyProtection="1">
      <alignment vertical="center"/>
      <protection hidden="1"/>
    </xf>
    <xf numFmtId="0" fontId="23" fillId="4" borderId="0" xfId="0" applyFont="1" applyFill="1" applyBorder="1" applyAlignment="1" applyProtection="1">
      <alignment vertical="center"/>
      <protection hidden="1"/>
    </xf>
    <xf numFmtId="0" fontId="23" fillId="4" borderId="61" xfId="0" applyFont="1" applyFill="1" applyBorder="1" applyAlignment="1" applyProtection="1">
      <alignment vertical="center"/>
      <protection hidden="1"/>
    </xf>
    <xf numFmtId="0" fontId="26" fillId="4" borderId="0" xfId="0" applyFont="1" applyFill="1" applyBorder="1" applyAlignment="1" applyProtection="1">
      <alignment horizontal="left" vertical="center" indent="15"/>
      <protection hidden="1"/>
    </xf>
    <xf numFmtId="169" fontId="2" fillId="4" borderId="0" xfId="0" applyNumberFormat="1" applyFont="1" applyFill="1" applyAlignment="1" applyProtection="1">
      <alignment vertical="center"/>
      <protection hidden="1"/>
    </xf>
    <xf numFmtId="0" fontId="21" fillId="9" borderId="73" xfId="0" applyFont="1" applyFill="1" applyBorder="1" applyAlignment="1" applyProtection="1">
      <alignment vertical="center" wrapText="1"/>
      <protection hidden="1"/>
    </xf>
    <xf numFmtId="0" fontId="2" fillId="4" borderId="0" xfId="0" applyFont="1" applyFill="1" applyBorder="1" applyAlignment="1" applyProtection="1">
      <alignment vertical="center"/>
      <protection hidden="1"/>
    </xf>
    <xf numFmtId="0" fontId="21" fillId="9" borderId="74" xfId="0" applyFont="1" applyFill="1" applyBorder="1" applyAlignment="1" applyProtection="1">
      <alignment vertical="center" wrapText="1"/>
      <protection hidden="1"/>
    </xf>
    <xf numFmtId="0" fontId="2" fillId="4" borderId="44" xfId="0" applyFont="1" applyFill="1" applyBorder="1" applyAlignment="1" applyProtection="1">
      <alignment vertical="center" wrapText="1"/>
      <protection hidden="1"/>
    </xf>
    <xf numFmtId="2" fontId="2" fillId="4" borderId="0" xfId="0" applyNumberFormat="1" applyFont="1" applyFill="1" applyAlignment="1" applyProtection="1">
      <alignment vertical="center"/>
      <protection hidden="1"/>
    </xf>
    <xf numFmtId="0" fontId="22" fillId="4" borderId="45" xfId="0" applyFont="1" applyFill="1" applyBorder="1" applyAlignment="1" applyProtection="1">
      <alignment vertical="center" wrapText="1"/>
      <protection hidden="1"/>
    </xf>
    <xf numFmtId="0" fontId="2" fillId="4" borderId="4" xfId="0" applyFont="1" applyFill="1" applyBorder="1" applyAlignment="1" applyProtection="1">
      <alignment vertical="center" wrapText="1"/>
      <protection hidden="1"/>
    </xf>
    <xf numFmtId="0" fontId="21" fillId="4" borderId="75" xfId="0" applyFont="1" applyFill="1" applyBorder="1" applyAlignment="1" applyProtection="1">
      <alignment vertical="center" wrapText="1"/>
      <protection hidden="1"/>
    </xf>
    <xf numFmtId="0" fontId="21" fillId="4" borderId="76" xfId="0" applyFont="1" applyFill="1" applyBorder="1" applyAlignment="1" applyProtection="1">
      <alignment vertical="center" wrapText="1"/>
      <protection hidden="1"/>
    </xf>
    <xf numFmtId="0" fontId="21" fillId="4" borderId="77" xfId="0" applyFont="1" applyFill="1" applyBorder="1" applyAlignment="1" applyProtection="1">
      <alignment vertical="center" wrapText="1"/>
      <protection hidden="1"/>
    </xf>
    <xf numFmtId="0" fontId="28" fillId="4" borderId="25" xfId="0" applyFont="1" applyFill="1" applyBorder="1" applyAlignment="1" applyProtection="1">
      <alignment horizontal="left" vertical="center" indent="1"/>
      <protection hidden="1"/>
    </xf>
    <xf numFmtId="0" fontId="0" fillId="3" borderId="0" xfId="0" applyFill="1" applyAlignment="1" applyProtection="1">
      <protection hidden="1"/>
    </xf>
    <xf numFmtId="0" fontId="0" fillId="4" borderId="0" xfId="0" applyFill="1" applyProtection="1">
      <protection hidden="1"/>
    </xf>
    <xf numFmtId="0" fontId="21" fillId="4" borderId="78" xfId="0" applyFont="1" applyFill="1" applyBorder="1" applyAlignment="1" applyProtection="1">
      <alignment vertical="center" wrapText="1"/>
      <protection hidden="1"/>
    </xf>
    <xf numFmtId="0" fontId="21" fillId="4" borderId="73" xfId="0" applyFont="1" applyFill="1" applyBorder="1" applyAlignment="1" applyProtection="1">
      <alignment vertical="center" wrapText="1"/>
      <protection hidden="1"/>
    </xf>
    <xf numFmtId="0" fontId="28" fillId="4" borderId="52" xfId="0" applyFont="1" applyFill="1" applyBorder="1" applyAlignment="1" applyProtection="1">
      <alignment horizontal="left" vertical="center" indent="1"/>
      <protection hidden="1"/>
    </xf>
    <xf numFmtId="0" fontId="0" fillId="3" borderId="0" xfId="0" applyFill="1" applyProtection="1">
      <protection hidden="1"/>
    </xf>
    <xf numFmtId="0" fontId="2" fillId="4" borderId="0" xfId="0" applyFont="1" applyFill="1" applyAlignment="1" applyProtection="1">
      <alignment horizontal="right" vertical="center"/>
      <protection hidden="1"/>
    </xf>
    <xf numFmtId="49" fontId="2" fillId="4" borderId="0" xfId="0" applyNumberFormat="1" applyFont="1" applyFill="1" applyAlignment="1" applyProtection="1">
      <alignment vertical="center"/>
      <protection hidden="1"/>
    </xf>
    <xf numFmtId="14" fontId="2" fillId="4" borderId="0" xfId="0" applyNumberFormat="1" applyFont="1" applyFill="1" applyAlignment="1" applyProtection="1">
      <alignment vertical="center"/>
      <protection hidden="1"/>
    </xf>
    <xf numFmtId="0" fontId="21" fillId="4" borderId="61" xfId="0" applyFont="1" applyFill="1" applyBorder="1" applyAlignment="1" applyProtection="1">
      <alignment vertical="center"/>
      <protection hidden="1"/>
    </xf>
    <xf numFmtId="0" fontId="21" fillId="4" borderId="0" xfId="0" applyFont="1" applyFill="1" applyBorder="1" applyAlignment="1" applyProtection="1">
      <alignment vertical="center"/>
      <protection hidden="1"/>
    </xf>
    <xf numFmtId="0" fontId="21" fillId="4" borderId="13" xfId="0" applyFont="1" applyFill="1" applyBorder="1" applyAlignment="1" applyProtection="1">
      <alignment vertical="center"/>
      <protection hidden="1"/>
    </xf>
    <xf numFmtId="0" fontId="21" fillId="4" borderId="0" xfId="0" applyFont="1" applyFill="1" applyAlignment="1" applyProtection="1">
      <alignment vertical="center"/>
      <protection hidden="1"/>
    </xf>
    <xf numFmtId="0" fontId="2" fillId="4" borderId="41" xfId="0" applyFont="1" applyFill="1" applyBorder="1" applyAlignment="1" applyProtection="1">
      <alignment vertical="center"/>
      <protection hidden="1"/>
    </xf>
    <xf numFmtId="0" fontId="2" fillId="4" borderId="43" xfId="0" applyFont="1" applyFill="1" applyBorder="1" applyAlignment="1" applyProtection="1">
      <alignment vertical="center"/>
      <protection hidden="1"/>
    </xf>
    <xf numFmtId="0" fontId="2" fillId="4" borderId="58" xfId="0" applyFont="1" applyFill="1" applyBorder="1" applyAlignment="1" applyProtection="1">
      <alignment vertical="center"/>
      <protection hidden="1"/>
    </xf>
    <xf numFmtId="0" fontId="2" fillId="4" borderId="61" xfId="0" applyFont="1" applyFill="1" applyBorder="1" applyAlignment="1" applyProtection="1">
      <alignment vertical="center"/>
      <protection hidden="1"/>
    </xf>
    <xf numFmtId="0" fontId="2" fillId="4" borderId="0" xfId="0" applyNumberFormat="1" applyFont="1" applyFill="1" applyAlignment="1" applyProtection="1">
      <alignment horizontal="left" vertical="center"/>
      <protection hidden="1"/>
    </xf>
    <xf numFmtId="0" fontId="28" fillId="4" borderId="0" xfId="0" applyFont="1" applyFill="1" applyBorder="1" applyAlignment="1" applyProtection="1">
      <alignment horizontal="left" vertical="center" indent="1"/>
      <protection hidden="1"/>
    </xf>
    <xf numFmtId="0" fontId="28" fillId="4" borderId="30" xfId="0" applyFont="1" applyFill="1" applyBorder="1" applyAlignment="1" applyProtection="1">
      <alignment horizontal="left" vertical="center" indent="1"/>
      <protection hidden="1"/>
    </xf>
    <xf numFmtId="0" fontId="0" fillId="4" borderId="13" xfId="0" applyFill="1" applyBorder="1" applyAlignment="1" applyProtection="1">
      <alignment horizontal="left" vertical="center"/>
      <protection hidden="1"/>
    </xf>
    <xf numFmtId="0" fontId="2" fillId="4" borderId="56" xfId="0" applyFont="1" applyFill="1" applyBorder="1" applyAlignment="1" applyProtection="1">
      <alignment vertical="center"/>
      <protection hidden="1"/>
    </xf>
    <xf numFmtId="0" fontId="0" fillId="4" borderId="13" xfId="0" applyFill="1" applyBorder="1" applyProtection="1">
      <protection hidden="1"/>
    </xf>
    <xf numFmtId="168" fontId="2" fillId="4" borderId="0" xfId="0" applyNumberFormat="1" applyFont="1" applyFill="1" applyAlignment="1" applyProtection="1">
      <alignment vertical="center"/>
      <protection hidden="1"/>
    </xf>
    <xf numFmtId="0" fontId="2" fillId="4" borderId="0" xfId="0" applyFont="1" applyFill="1" applyAlignment="1" applyProtection="1">
      <alignment horizontal="left" vertical="center"/>
      <protection hidden="1"/>
    </xf>
    <xf numFmtId="0" fontId="0" fillId="4" borderId="55" xfId="0" applyFill="1" applyBorder="1" applyAlignment="1" applyProtection="1">
      <alignment horizontal="left" vertical="center"/>
      <protection hidden="1"/>
    </xf>
    <xf numFmtId="0" fontId="22" fillId="4" borderId="4" xfId="0" applyFont="1" applyFill="1" applyBorder="1" applyAlignment="1" applyProtection="1">
      <alignment vertical="center" wrapText="1"/>
      <protection hidden="1"/>
    </xf>
    <xf numFmtId="0" fontId="22" fillId="4" borderId="79" xfId="0" applyFont="1" applyFill="1" applyBorder="1" applyAlignment="1" applyProtection="1">
      <alignment vertical="center" wrapText="1"/>
      <protection hidden="1"/>
    </xf>
    <xf numFmtId="0" fontId="2" fillId="4" borderId="15" xfId="0" applyFont="1" applyFill="1" applyBorder="1" applyAlignment="1" applyProtection="1">
      <alignment vertical="center"/>
      <protection hidden="1"/>
    </xf>
    <xf numFmtId="0" fontId="2" fillId="14" borderId="0" xfId="0" applyFont="1" applyFill="1" applyAlignment="1" applyProtection="1">
      <alignment vertical="center"/>
      <protection hidden="1"/>
    </xf>
    <xf numFmtId="16" fontId="2" fillId="4" borderId="0" xfId="0" applyNumberFormat="1" applyFont="1" applyFill="1" applyAlignment="1" applyProtection="1">
      <alignment horizontal="center" vertical="center"/>
      <protection hidden="1"/>
    </xf>
    <xf numFmtId="0" fontId="2" fillId="4" borderId="0" xfId="0" applyFont="1" applyFill="1" applyAlignment="1" applyProtection="1">
      <alignment horizontal="center" vertical="center"/>
      <protection hidden="1"/>
    </xf>
    <xf numFmtId="0" fontId="2" fillId="12" borderId="80" xfId="0" applyFont="1" applyFill="1" applyBorder="1" applyAlignment="1" applyProtection="1">
      <alignment vertical="center"/>
      <protection hidden="1"/>
    </xf>
    <xf numFmtId="0" fontId="2" fillId="12" borderId="46" xfId="0" applyFont="1" applyFill="1" applyBorder="1" applyAlignment="1" applyProtection="1">
      <alignment vertical="center"/>
      <protection hidden="1"/>
    </xf>
    <xf numFmtId="0" fontId="2" fillId="4" borderId="25" xfId="0" applyFont="1" applyFill="1" applyBorder="1" applyAlignment="1" applyProtection="1">
      <alignment vertical="center"/>
      <protection hidden="1"/>
    </xf>
    <xf numFmtId="0" fontId="2" fillId="4" borderId="26" xfId="0" applyFont="1" applyFill="1" applyBorder="1" applyAlignment="1" applyProtection="1">
      <alignment vertical="center"/>
      <protection hidden="1"/>
    </xf>
    <xf numFmtId="0" fontId="2" fillId="12" borderId="26" xfId="0" applyFont="1" applyFill="1" applyBorder="1" applyAlignment="1" applyProtection="1">
      <alignment vertical="center"/>
      <protection hidden="1"/>
    </xf>
    <xf numFmtId="0" fontId="2" fillId="4" borderId="28" xfId="0" applyFont="1" applyFill="1" applyBorder="1" applyAlignment="1" applyProtection="1">
      <alignment vertical="center"/>
      <protection hidden="1"/>
    </xf>
    <xf numFmtId="0" fontId="2" fillId="14" borderId="62" xfId="0" applyFont="1" applyFill="1" applyBorder="1" applyAlignment="1" applyProtection="1">
      <alignment vertical="center"/>
      <protection hidden="1"/>
    </xf>
    <xf numFmtId="14" fontId="2" fillId="4" borderId="3" xfId="0" applyNumberFormat="1" applyFont="1" applyFill="1" applyBorder="1" applyAlignment="1" applyProtection="1">
      <alignment vertical="center"/>
      <protection hidden="1"/>
    </xf>
    <xf numFmtId="0" fontId="2" fillId="10" borderId="52" xfId="0" applyFont="1" applyFill="1" applyBorder="1" applyAlignment="1" applyProtection="1">
      <alignment vertical="center"/>
      <protection hidden="1"/>
    </xf>
    <xf numFmtId="0" fontId="2" fillId="11" borderId="4" xfId="0" applyFont="1" applyFill="1" applyBorder="1" applyAlignment="1" applyProtection="1">
      <alignment vertical="center"/>
      <protection hidden="1"/>
    </xf>
    <xf numFmtId="0" fontId="2" fillId="12" borderId="4" xfId="0" applyFont="1" applyFill="1" applyBorder="1" applyAlignment="1" applyProtection="1">
      <alignment vertical="center"/>
      <protection hidden="1"/>
    </xf>
    <xf numFmtId="0" fontId="2" fillId="14" borderId="4" xfId="0" applyFont="1" applyFill="1" applyBorder="1" applyAlignment="1" applyProtection="1">
      <alignment horizontal="right" vertical="center"/>
      <protection hidden="1"/>
    </xf>
    <xf numFmtId="0" fontId="2" fillId="4" borderId="4"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12" borderId="83" xfId="0" applyFont="1" applyFill="1" applyBorder="1" applyAlignment="1" applyProtection="1">
      <alignment vertical="center"/>
      <protection hidden="1"/>
    </xf>
    <xf numFmtId="0" fontId="2" fillId="14" borderId="4" xfId="0" applyFont="1" applyFill="1" applyBorder="1" applyAlignment="1" applyProtection="1">
      <alignment vertical="center"/>
      <protection hidden="1"/>
    </xf>
    <xf numFmtId="0" fontId="2" fillId="12" borderId="81" xfId="0" applyFont="1" applyFill="1" applyBorder="1" applyAlignment="1" applyProtection="1">
      <alignment vertical="center"/>
      <protection hidden="1"/>
    </xf>
    <xf numFmtId="0" fontId="2" fillId="10" borderId="30" xfId="0" applyFont="1" applyFill="1" applyBorder="1" applyAlignment="1" applyProtection="1">
      <alignment vertical="center"/>
      <protection hidden="1"/>
    </xf>
    <xf numFmtId="0" fontId="2" fillId="14" borderId="31" xfId="0" applyFont="1" applyFill="1" applyBorder="1" applyAlignment="1" applyProtection="1">
      <alignment horizontal="right" vertical="center"/>
      <protection hidden="1"/>
    </xf>
    <xf numFmtId="0" fontId="2" fillId="4" borderId="31" xfId="0" applyFont="1" applyFill="1" applyBorder="1" applyAlignment="1" applyProtection="1">
      <alignment vertical="center"/>
      <protection hidden="1"/>
    </xf>
    <xf numFmtId="0" fontId="2" fillId="4" borderId="23" xfId="0" applyFont="1" applyFill="1" applyBorder="1" applyAlignment="1" applyProtection="1">
      <alignment vertical="center"/>
      <protection hidden="1"/>
    </xf>
    <xf numFmtId="0" fontId="2" fillId="12" borderId="82" xfId="0" applyFont="1" applyFill="1" applyBorder="1" applyAlignment="1" applyProtection="1">
      <alignment vertical="center"/>
      <protection hidden="1"/>
    </xf>
    <xf numFmtId="0" fontId="2" fillId="14" borderId="31" xfId="0" applyFont="1" applyFill="1" applyBorder="1" applyAlignment="1" applyProtection="1">
      <alignment vertical="center"/>
      <protection hidden="1"/>
    </xf>
    <xf numFmtId="14" fontId="2" fillId="4" borderId="62" xfId="0" applyNumberFormat="1" applyFont="1" applyFill="1" applyBorder="1" applyAlignment="1" applyProtection="1">
      <alignment horizontal="center" vertical="center"/>
      <protection hidden="1"/>
    </xf>
    <xf numFmtId="0" fontId="2" fillId="4" borderId="62" xfId="0" applyFont="1" applyFill="1" applyBorder="1" applyAlignment="1" applyProtection="1">
      <alignment vertical="center"/>
      <protection hidden="1"/>
    </xf>
    <xf numFmtId="0" fontId="2" fillId="4" borderId="57" xfId="0" applyFont="1" applyFill="1" applyBorder="1" applyAlignment="1" applyProtection="1">
      <alignment vertical="center"/>
      <protection hidden="1"/>
    </xf>
    <xf numFmtId="0" fontId="2" fillId="4" borderId="21" xfId="0" applyFont="1" applyFill="1" applyBorder="1" applyAlignment="1" applyProtection="1">
      <alignment vertical="center"/>
      <protection hidden="1"/>
    </xf>
    <xf numFmtId="0" fontId="2" fillId="4" borderId="18" xfId="0" applyFont="1" applyFill="1" applyBorder="1" applyAlignment="1" applyProtection="1">
      <alignment vertical="center"/>
      <protection hidden="1"/>
    </xf>
    <xf numFmtId="0" fontId="2" fillId="4" borderId="13" xfId="0" applyFont="1" applyFill="1" applyBorder="1" applyAlignment="1" applyProtection="1">
      <alignment vertical="center"/>
      <protection hidden="1"/>
    </xf>
    <xf numFmtId="0" fontId="2" fillId="4" borderId="0" xfId="0" applyFont="1" applyFill="1" applyBorder="1" applyAlignment="1" applyProtection="1">
      <alignment vertical="center" wrapText="1"/>
      <protection hidden="1"/>
    </xf>
    <xf numFmtId="0" fontId="2" fillId="4" borderId="47" xfId="0" applyFont="1" applyFill="1" applyBorder="1" applyAlignment="1" applyProtection="1">
      <alignment vertical="center"/>
      <protection hidden="1"/>
    </xf>
    <xf numFmtId="0" fontId="21" fillId="4" borderId="0" xfId="0" applyFont="1" applyFill="1" applyBorder="1" applyAlignment="1" applyProtection="1">
      <alignment vertical="center" wrapText="1"/>
      <protection hidden="1"/>
    </xf>
    <xf numFmtId="0" fontId="22" fillId="4" borderId="0" xfId="0" applyFont="1" applyFill="1" applyBorder="1" applyAlignment="1" applyProtection="1">
      <alignment vertical="center" wrapText="1"/>
      <protection hidden="1"/>
    </xf>
    <xf numFmtId="14" fontId="2" fillId="4" borderId="46" xfId="0" applyNumberFormat="1" applyFont="1" applyFill="1" applyBorder="1" applyAlignment="1" applyProtection="1">
      <alignment vertical="center"/>
      <protection hidden="1"/>
    </xf>
    <xf numFmtId="0" fontId="2" fillId="4" borderId="48" xfId="0" applyFont="1" applyFill="1" applyBorder="1" applyAlignment="1" applyProtection="1">
      <alignment vertical="center"/>
      <protection hidden="1"/>
    </xf>
    <xf numFmtId="0" fontId="2" fillId="4" borderId="46" xfId="0" applyFont="1" applyFill="1" applyBorder="1" applyAlignment="1" applyProtection="1">
      <alignment vertical="center"/>
      <protection hidden="1"/>
    </xf>
    <xf numFmtId="0" fontId="2" fillId="4" borderId="55" xfId="0" applyFont="1" applyFill="1" applyBorder="1" applyAlignment="1" applyProtection="1">
      <alignment vertical="center"/>
      <protection hidden="1"/>
    </xf>
    <xf numFmtId="0" fontId="2" fillId="4" borderId="46" xfId="0" applyFont="1" applyFill="1" applyBorder="1" applyAlignment="1" applyProtection="1">
      <alignment horizontal="center" vertical="center"/>
      <protection hidden="1"/>
    </xf>
    <xf numFmtId="0" fontId="2" fillId="4" borderId="47" xfId="0" applyFont="1" applyFill="1" applyBorder="1" applyAlignment="1" applyProtection="1">
      <alignment horizontal="center" vertical="center"/>
      <protection hidden="1"/>
    </xf>
    <xf numFmtId="0" fontId="2" fillId="4" borderId="48" xfId="0" applyFont="1" applyFill="1" applyBorder="1" applyAlignment="1" applyProtection="1">
      <alignment horizontal="center" vertical="center"/>
      <protection hidden="1"/>
    </xf>
    <xf numFmtId="0" fontId="2" fillId="4" borderId="15" xfId="0" applyFont="1" applyFill="1" applyBorder="1" applyAlignment="1" applyProtection="1">
      <alignment vertical="center" wrapText="1"/>
      <protection hidden="1"/>
    </xf>
    <xf numFmtId="0" fontId="22" fillId="4" borderId="15" xfId="0" applyFont="1" applyFill="1" applyBorder="1" applyAlignment="1" applyProtection="1">
      <alignment vertical="center" wrapText="1"/>
      <protection hidden="1"/>
    </xf>
    <xf numFmtId="0" fontId="2" fillId="4" borderId="0" xfId="0" applyFont="1" applyFill="1" applyAlignment="1" applyProtection="1">
      <alignment vertical="center" wrapText="1"/>
      <protection hidden="1"/>
    </xf>
    <xf numFmtId="0" fontId="20" fillId="4" borderId="28" xfId="0" applyFont="1" applyFill="1" applyBorder="1" applyAlignment="1" applyProtection="1">
      <alignment vertical="center"/>
      <protection hidden="1"/>
    </xf>
    <xf numFmtId="0" fontId="4" fillId="0" borderId="0" xfId="0" applyFont="1" applyAlignment="1" applyProtection="1">
      <alignment horizontal="left" vertical="center"/>
      <protection hidden="1"/>
    </xf>
    <xf numFmtId="0" fontId="5" fillId="0" borderId="0" xfId="0" applyFont="1" applyAlignment="1" applyProtection="1">
      <alignment horizontal="center" vertical="center"/>
      <protection hidden="1"/>
    </xf>
    <xf numFmtId="0" fontId="5" fillId="0" borderId="0" xfId="0" applyFont="1" applyAlignment="1" applyProtection="1">
      <alignment horizontal="left" vertical="center" wrapText="1"/>
      <protection hidden="1"/>
    </xf>
    <xf numFmtId="0" fontId="5" fillId="0" borderId="0" xfId="0" applyFont="1" applyAlignment="1" applyProtection="1">
      <alignment horizontal="center" vertical="center" wrapText="1"/>
      <protection hidden="1"/>
    </xf>
    <xf numFmtId="0" fontId="5" fillId="0" borderId="0" xfId="0" applyFont="1" applyAlignment="1" applyProtection="1">
      <alignment horizontal="left" vertical="center"/>
      <protection hidden="1"/>
    </xf>
    <xf numFmtId="0" fontId="9" fillId="0" borderId="0" xfId="0" applyFont="1" applyAlignment="1" applyProtection="1">
      <alignment horizontal="left" vertical="center"/>
      <protection hidden="1"/>
    </xf>
    <xf numFmtId="0" fontId="9" fillId="0" borderId="0" xfId="0" applyFont="1" applyAlignment="1" applyProtection="1">
      <alignment horizontal="right" vertical="center"/>
      <protection hidden="1"/>
    </xf>
    <xf numFmtId="0" fontId="12" fillId="0" borderId="0" xfId="0" applyFont="1" applyAlignment="1" applyProtection="1">
      <alignment vertical="center"/>
      <protection hidden="1"/>
    </xf>
    <xf numFmtId="0" fontId="9" fillId="0" borderId="1" xfId="0" applyFont="1" applyBorder="1" applyAlignment="1" applyProtection="1">
      <alignment horizontal="left" vertical="center"/>
      <protection hidden="1"/>
    </xf>
    <xf numFmtId="0" fontId="9" fillId="0" borderId="2" xfId="0" applyFont="1" applyBorder="1" applyAlignment="1" applyProtection="1">
      <alignment vertical="center"/>
      <protection hidden="1"/>
    </xf>
    <xf numFmtId="0" fontId="9" fillId="0" borderId="3" xfId="0" applyFont="1" applyBorder="1" applyAlignment="1" applyProtection="1">
      <alignment horizontal="right" vertical="center"/>
      <protection hidden="1"/>
    </xf>
    <xf numFmtId="0" fontId="9" fillId="0" borderId="5" xfId="0" applyFont="1" applyBorder="1" applyAlignment="1" applyProtection="1">
      <alignment horizontal="left" vertical="center"/>
      <protection hidden="1"/>
    </xf>
    <xf numFmtId="0" fontId="9" fillId="0" borderId="8" xfId="0" applyFont="1" applyBorder="1" applyAlignment="1" applyProtection="1">
      <alignment horizontal="left" vertical="center"/>
      <protection hidden="1"/>
    </xf>
    <xf numFmtId="0" fontId="9" fillId="0" borderId="10" xfId="0" applyFont="1" applyBorder="1" applyAlignment="1" applyProtection="1">
      <alignment horizontal="left" vertical="center"/>
      <protection hidden="1"/>
    </xf>
    <xf numFmtId="0" fontId="5" fillId="0" borderId="9" xfId="0" applyFont="1" applyBorder="1" applyAlignment="1" applyProtection="1">
      <alignment horizontal="left" vertical="center"/>
      <protection hidden="1"/>
    </xf>
    <xf numFmtId="0" fontId="9" fillId="0" borderId="6" xfId="0" applyFont="1" applyBorder="1" applyAlignment="1" applyProtection="1">
      <alignment vertical="center"/>
      <protection hidden="1"/>
    </xf>
    <xf numFmtId="0" fontId="9" fillId="0" borderId="7" xfId="0" applyFont="1" applyBorder="1" applyAlignment="1" applyProtection="1">
      <alignment horizontal="right" vertical="center"/>
      <protection hidden="1"/>
    </xf>
    <xf numFmtId="0" fontId="9" fillId="0" borderId="8" xfId="0" applyFont="1" applyBorder="1" applyAlignment="1" applyProtection="1">
      <alignment horizontal="right" vertical="center"/>
      <protection hidden="1"/>
    </xf>
    <xf numFmtId="0" fontId="9" fillId="0" borderId="0" xfId="0" applyFont="1" applyBorder="1" applyAlignment="1" applyProtection="1">
      <alignment vertical="center"/>
      <protection hidden="1"/>
    </xf>
    <xf numFmtId="0" fontId="9" fillId="0" borderId="9" xfId="0" applyFont="1" applyBorder="1" applyAlignment="1" applyProtection="1">
      <alignment horizontal="right" vertical="center"/>
      <protection hidden="1"/>
    </xf>
    <xf numFmtId="0" fontId="5" fillId="0" borderId="0" xfId="0" applyFont="1" applyBorder="1" applyAlignment="1" applyProtection="1">
      <alignment horizontal="left" vertical="center"/>
      <protection hidden="1"/>
    </xf>
    <xf numFmtId="0" fontId="9" fillId="0" borderId="11" xfId="0" applyFont="1" applyBorder="1" applyAlignment="1" applyProtection="1">
      <alignment vertical="center"/>
      <protection hidden="1"/>
    </xf>
    <xf numFmtId="0" fontId="9" fillId="0" borderId="12" xfId="0" applyFont="1" applyBorder="1" applyAlignment="1" applyProtection="1">
      <alignment horizontal="right" vertical="center"/>
      <protection hidden="1"/>
    </xf>
    <xf numFmtId="0" fontId="5" fillId="0" borderId="11" xfId="0" applyFont="1" applyBorder="1" applyAlignment="1" applyProtection="1">
      <alignment horizontal="left" vertical="center"/>
      <protection hidden="1"/>
    </xf>
    <xf numFmtId="0" fontId="5" fillId="0" borderId="12" xfId="0" applyFont="1" applyBorder="1" applyAlignment="1" applyProtection="1">
      <alignment horizontal="left" vertical="center"/>
      <protection hidden="1"/>
    </xf>
    <xf numFmtId="0" fontId="9" fillId="0" borderId="1" xfId="0" applyFont="1" applyBorder="1" applyAlignment="1" applyProtection="1">
      <alignment horizontal="right" vertical="center"/>
      <protection hidden="1"/>
    </xf>
    <xf numFmtId="0" fontId="9" fillId="0" borderId="0" xfId="0" applyFont="1" applyBorder="1" applyAlignment="1" applyProtection="1">
      <alignment horizontal="right" vertical="center"/>
      <protection hidden="1"/>
    </xf>
    <xf numFmtId="0" fontId="9" fillId="0" borderId="11" xfId="0" applyFont="1" applyBorder="1" applyAlignment="1" applyProtection="1">
      <alignment horizontal="right" vertical="center"/>
      <protection hidden="1"/>
    </xf>
    <xf numFmtId="0" fontId="5" fillId="0" borderId="11" xfId="0" applyFont="1" applyBorder="1" applyAlignment="1" applyProtection="1">
      <alignment vertical="center"/>
      <protection hidden="1"/>
    </xf>
    <xf numFmtId="0" fontId="5" fillId="0" borderId="12" xfId="0" applyFont="1" applyBorder="1" applyAlignment="1" applyProtection="1">
      <alignment vertical="center"/>
      <protection hidden="1"/>
    </xf>
    <xf numFmtId="0" fontId="5" fillId="0" borderId="8" xfId="0" applyFont="1" applyBorder="1" applyAlignment="1" applyProtection="1">
      <alignment horizontal="left" vertical="center"/>
      <protection hidden="1"/>
    </xf>
    <xf numFmtId="0" fontId="9" fillId="0" borderId="10" xfId="0" applyFont="1" applyBorder="1" applyAlignment="1" applyProtection="1">
      <alignment horizontal="right" vertical="center"/>
      <protection hidden="1"/>
    </xf>
    <xf numFmtId="0" fontId="9" fillId="0" borderId="5" xfId="0" applyFont="1" applyBorder="1" applyAlignment="1" applyProtection="1">
      <alignment horizontal="right" vertical="center"/>
      <protection hidden="1"/>
    </xf>
    <xf numFmtId="2" fontId="5" fillId="0" borderId="5" xfId="0" applyNumberFormat="1" applyFont="1" applyBorder="1" applyAlignment="1" applyProtection="1">
      <alignment horizontal="left" vertical="center" indent="1"/>
      <protection hidden="1"/>
    </xf>
    <xf numFmtId="2" fontId="5" fillId="0" borderId="6" xfId="0" applyNumberFormat="1" applyFont="1" applyBorder="1" applyAlignment="1" applyProtection="1">
      <alignment horizontal="left" vertical="center" indent="1"/>
      <protection hidden="1"/>
    </xf>
    <xf numFmtId="0" fontId="5" fillId="0" borderId="6" xfId="0" applyFont="1" applyBorder="1" applyAlignment="1" applyProtection="1">
      <alignment horizontal="left" vertical="center"/>
      <protection hidden="1"/>
    </xf>
    <xf numFmtId="0" fontId="5" fillId="0" borderId="7" xfId="0" applyFont="1" applyBorder="1" applyAlignment="1" applyProtection="1">
      <alignment horizontal="left" vertical="center"/>
      <protection hidden="1"/>
    </xf>
    <xf numFmtId="0" fontId="5" fillId="0" borderId="0" xfId="0" applyFont="1" applyBorder="1" applyAlignment="1" applyProtection="1">
      <alignment vertical="center"/>
      <protection hidden="1"/>
    </xf>
    <xf numFmtId="0" fontId="5" fillId="0" borderId="9" xfId="0" applyFont="1" applyBorder="1" applyAlignment="1" applyProtection="1">
      <alignment vertical="center"/>
      <protection hidden="1"/>
    </xf>
    <xf numFmtId="2" fontId="5" fillId="0" borderId="10" xfId="0" applyNumberFormat="1" applyFont="1" applyBorder="1" applyAlignment="1" applyProtection="1">
      <alignment horizontal="left" vertical="center" indent="1"/>
      <protection hidden="1"/>
    </xf>
    <xf numFmtId="2" fontId="5" fillId="0" borderId="11" xfId="0" applyNumberFormat="1" applyFont="1" applyBorder="1" applyAlignment="1" applyProtection="1">
      <alignment horizontal="left" vertical="center" indent="1"/>
      <protection hidden="1"/>
    </xf>
    <xf numFmtId="2" fontId="5" fillId="0" borderId="8" xfId="0" applyNumberFormat="1" applyFont="1" applyBorder="1" applyAlignment="1" applyProtection="1">
      <alignment horizontal="left" vertical="center" indent="1"/>
      <protection hidden="1"/>
    </xf>
    <xf numFmtId="2" fontId="5" fillId="0" borderId="0" xfId="0" applyNumberFormat="1" applyFont="1" applyBorder="1" applyAlignment="1" applyProtection="1">
      <alignment horizontal="left" vertical="center" indent="1"/>
      <protection hidden="1"/>
    </xf>
    <xf numFmtId="2" fontId="5" fillId="0" borderId="0" xfId="0" applyNumberFormat="1" applyFont="1" applyBorder="1" applyAlignment="1" applyProtection="1">
      <alignment vertical="center"/>
      <protection hidden="1"/>
    </xf>
    <xf numFmtId="2" fontId="5" fillId="0" borderId="9" xfId="0" applyNumberFormat="1" applyFont="1" applyBorder="1" applyAlignment="1" applyProtection="1">
      <alignment vertical="center"/>
      <protection hidden="1"/>
    </xf>
    <xf numFmtId="0" fontId="9" fillId="0" borderId="14" xfId="0" applyFont="1" applyBorder="1" applyAlignment="1" applyProtection="1">
      <alignment horizontal="right" vertical="center"/>
      <protection hidden="1"/>
    </xf>
    <xf numFmtId="0" fontId="9" fillId="0" borderId="15" xfId="0" applyFont="1" applyBorder="1" applyAlignment="1" applyProtection="1">
      <alignment vertical="center"/>
      <protection hidden="1"/>
    </xf>
    <xf numFmtId="0" fontId="9" fillId="0" borderId="16" xfId="0" applyFont="1" applyBorder="1" applyAlignment="1" applyProtection="1">
      <alignment horizontal="right" vertical="center"/>
      <protection hidden="1"/>
    </xf>
    <xf numFmtId="2" fontId="5" fillId="0" borderId="14" xfId="0" applyNumberFormat="1" applyFont="1" applyBorder="1" applyAlignment="1" applyProtection="1">
      <alignment horizontal="left" vertical="center" indent="1"/>
      <protection hidden="1"/>
    </xf>
    <xf numFmtId="2" fontId="5" fillId="0" borderId="15" xfId="0" applyNumberFormat="1" applyFont="1" applyBorder="1" applyAlignment="1" applyProtection="1">
      <alignment horizontal="left" vertical="center" indent="1"/>
      <protection hidden="1"/>
    </xf>
    <xf numFmtId="0" fontId="5" fillId="0" borderId="15" xfId="0" applyFont="1" applyBorder="1" applyAlignment="1" applyProtection="1">
      <alignment horizontal="left" vertical="center"/>
      <protection hidden="1"/>
    </xf>
    <xf numFmtId="0" fontId="5" fillId="0" borderId="16" xfId="0" applyFont="1" applyBorder="1" applyAlignment="1" applyProtection="1">
      <alignment horizontal="left" vertical="center"/>
      <protection hidden="1"/>
    </xf>
    <xf numFmtId="0" fontId="4" fillId="0" borderId="17" xfId="0" applyFont="1" applyBorder="1" applyAlignment="1" applyProtection="1">
      <alignment horizontal="left" vertical="center"/>
      <protection hidden="1"/>
    </xf>
    <xf numFmtId="0" fontId="4" fillId="0" borderId="18" xfId="0" applyFont="1" applyBorder="1" applyAlignment="1" applyProtection="1">
      <alignment vertical="center"/>
      <protection hidden="1"/>
    </xf>
    <xf numFmtId="0" fontId="9" fillId="0" borderId="19" xfId="0" applyFont="1" applyBorder="1" applyAlignment="1" applyProtection="1">
      <alignment horizontal="right" vertical="center"/>
      <protection hidden="1"/>
    </xf>
    <xf numFmtId="2" fontId="5" fillId="0" borderId="18" xfId="0" applyNumberFormat="1" applyFont="1" applyBorder="1" applyAlignment="1" applyProtection="1">
      <alignment vertical="center"/>
      <protection hidden="1"/>
    </xf>
    <xf numFmtId="2" fontId="5" fillId="0" borderId="19" xfId="0" applyNumberFormat="1" applyFont="1" applyBorder="1" applyAlignment="1" applyProtection="1">
      <alignment vertical="center"/>
      <protection hidden="1"/>
    </xf>
    <xf numFmtId="0" fontId="15" fillId="0" borderId="0" xfId="0" applyFont="1" applyAlignment="1" applyProtection="1">
      <alignment vertical="center"/>
      <protection hidden="1"/>
    </xf>
    <xf numFmtId="0" fontId="9" fillId="0" borderId="6" xfId="0" applyFont="1" applyBorder="1" applyAlignment="1" applyProtection="1">
      <alignment horizontal="left" vertical="center"/>
      <protection hidden="1"/>
    </xf>
    <xf numFmtId="0" fontId="5" fillId="0" borderId="5" xfId="0" applyFont="1" applyBorder="1" applyAlignment="1" applyProtection="1">
      <alignment horizontal="left" vertical="center"/>
      <protection hidden="1"/>
    </xf>
    <xf numFmtId="0" fontId="9" fillId="0" borderId="20" xfId="0" applyFont="1" applyBorder="1" applyAlignment="1" applyProtection="1">
      <alignment horizontal="left" vertical="center"/>
      <protection hidden="1"/>
    </xf>
    <xf numFmtId="0" fontId="9" fillId="0" borderId="21" xfId="0" applyFont="1" applyBorder="1" applyAlignment="1" applyProtection="1">
      <alignment vertical="center"/>
      <protection hidden="1"/>
    </xf>
    <xf numFmtId="0" fontId="9" fillId="0" borderId="22" xfId="0" applyFont="1" applyBorder="1" applyAlignment="1" applyProtection="1">
      <alignment horizontal="right" vertical="center"/>
      <protection hidden="1"/>
    </xf>
    <xf numFmtId="0" fontId="4" fillId="0" borderId="20" xfId="0" applyFont="1" applyBorder="1" applyAlignment="1" applyProtection="1">
      <alignment horizontal="left" vertical="center"/>
      <protection hidden="1"/>
    </xf>
    <xf numFmtId="0" fontId="9" fillId="0" borderId="21" xfId="0" applyFont="1" applyBorder="1" applyAlignment="1" applyProtection="1">
      <alignment horizontal="left" vertical="center"/>
      <protection hidden="1"/>
    </xf>
    <xf numFmtId="0" fontId="5" fillId="0" borderId="22" xfId="0" applyFont="1" applyBorder="1" applyAlignment="1" applyProtection="1">
      <alignment horizontal="left" vertical="center"/>
      <protection hidden="1"/>
    </xf>
    <xf numFmtId="0" fontId="5" fillId="0" borderId="21" xfId="0" applyFont="1" applyBorder="1" applyAlignment="1" applyProtection="1">
      <alignment horizontal="left" vertical="center"/>
      <protection hidden="1"/>
    </xf>
    <xf numFmtId="0" fontId="9" fillId="0" borderId="22" xfId="0" applyFont="1" applyBorder="1" applyAlignment="1" applyProtection="1">
      <alignment horizontal="left" vertical="center"/>
      <protection hidden="1"/>
    </xf>
    <xf numFmtId="0" fontId="4" fillId="0" borderId="10" xfId="0" applyFont="1" applyBorder="1" applyAlignment="1" applyProtection="1">
      <alignment horizontal="left" vertical="center"/>
      <protection hidden="1"/>
    </xf>
    <xf numFmtId="0" fontId="9" fillId="0" borderId="11" xfId="0" applyFont="1" applyBorder="1" applyAlignment="1" applyProtection="1">
      <alignment horizontal="left" vertical="center"/>
      <protection hidden="1"/>
    </xf>
    <xf numFmtId="0" fontId="9" fillId="0" borderId="12" xfId="0" applyFont="1" applyBorder="1" applyAlignment="1" applyProtection="1">
      <alignment horizontal="left" vertical="center"/>
      <protection hidden="1"/>
    </xf>
    <xf numFmtId="0" fontId="5" fillId="0" borderId="3" xfId="0" applyFont="1" applyBorder="1" applyAlignment="1" applyProtection="1">
      <alignment horizontal="left" vertical="center"/>
      <protection hidden="1"/>
    </xf>
    <xf numFmtId="0" fontId="9" fillId="0" borderId="3" xfId="0" applyFont="1" applyBorder="1" applyAlignment="1" applyProtection="1">
      <alignment horizontal="left" vertical="center"/>
      <protection hidden="1"/>
    </xf>
    <xf numFmtId="0" fontId="9" fillId="0" borderId="7" xfId="0" applyFont="1" applyBorder="1" applyAlignment="1" applyProtection="1">
      <alignment horizontal="left" vertical="center"/>
      <protection hidden="1"/>
    </xf>
    <xf numFmtId="0" fontId="9" fillId="0" borderId="9" xfId="0" applyFont="1" applyBorder="1" applyAlignment="1" applyProtection="1">
      <alignment horizontal="left" vertical="center"/>
      <protection hidden="1"/>
    </xf>
    <xf numFmtId="0" fontId="9" fillId="0" borderId="17" xfId="0" applyFont="1" applyBorder="1" applyAlignment="1" applyProtection="1">
      <alignment horizontal="left" vertical="center"/>
      <protection hidden="1"/>
    </xf>
    <xf numFmtId="0" fontId="9" fillId="0" borderId="18" xfId="0" applyFont="1" applyBorder="1" applyAlignment="1" applyProtection="1">
      <alignment vertical="center"/>
      <protection hidden="1"/>
    </xf>
    <xf numFmtId="0" fontId="5" fillId="0" borderId="18" xfId="0" applyFont="1" applyBorder="1" applyAlignment="1" applyProtection="1">
      <alignment vertical="center"/>
      <protection hidden="1"/>
    </xf>
    <xf numFmtId="0" fontId="5" fillId="0" borderId="19" xfId="0" applyFont="1" applyBorder="1" applyAlignment="1" applyProtection="1">
      <alignment horizontal="left" vertical="center"/>
      <protection hidden="1"/>
    </xf>
    <xf numFmtId="0" fontId="9" fillId="0" borderId="19" xfId="0" applyFont="1" applyBorder="1" applyAlignment="1" applyProtection="1">
      <alignment horizontal="left" vertical="center"/>
      <protection hidden="1"/>
    </xf>
    <xf numFmtId="0" fontId="9" fillId="0" borderId="18" xfId="0" applyFont="1" applyBorder="1" applyAlignment="1" applyProtection="1">
      <alignment horizontal="right" vertical="center"/>
      <protection hidden="1"/>
    </xf>
    <xf numFmtId="164" fontId="5" fillId="0" borderId="11" xfId="1" applyFont="1" applyBorder="1" applyAlignment="1" applyProtection="1">
      <alignment vertical="center"/>
      <protection hidden="1"/>
    </xf>
    <xf numFmtId="164" fontId="5" fillId="0" borderId="12" xfId="1" applyFont="1" applyBorder="1" applyAlignment="1" applyProtection="1">
      <alignment vertical="center"/>
      <protection hidden="1"/>
    </xf>
    <xf numFmtId="0" fontId="9" fillId="0" borderId="1" xfId="0" applyFont="1" applyBorder="1" applyAlignment="1" applyProtection="1">
      <alignment vertical="center"/>
      <protection hidden="1"/>
    </xf>
    <xf numFmtId="0" fontId="5" fillId="0" borderId="2" xfId="0" applyFont="1" applyBorder="1" applyAlignment="1" applyProtection="1">
      <alignment vertical="center"/>
      <protection hidden="1"/>
    </xf>
    <xf numFmtId="0" fontId="9" fillId="0" borderId="3" xfId="0" applyFont="1" applyBorder="1" applyAlignment="1" applyProtection="1">
      <alignment vertical="center"/>
      <protection hidden="1"/>
    </xf>
    <xf numFmtId="0" fontId="12" fillId="0" borderId="0" xfId="0" applyFont="1" applyAlignment="1" applyProtection="1">
      <alignment horizontal="left" vertical="center"/>
      <protection hidden="1"/>
    </xf>
    <xf numFmtId="0" fontId="9" fillId="0" borderId="2" xfId="0" applyFont="1" applyBorder="1" applyAlignment="1" applyProtection="1">
      <alignment horizontal="right" vertical="center"/>
      <protection hidden="1"/>
    </xf>
    <xf numFmtId="0" fontId="4" fillId="0" borderId="3" xfId="0" applyFont="1" applyBorder="1" applyAlignment="1" applyProtection="1">
      <alignment horizontal="left" vertical="center"/>
      <protection hidden="1"/>
    </xf>
    <xf numFmtId="0" fontId="5" fillId="0" borderId="1" xfId="0" applyFont="1" applyBorder="1" applyAlignment="1" applyProtection="1">
      <alignment horizontal="left" vertical="center"/>
      <protection hidden="1"/>
    </xf>
    <xf numFmtId="0" fontId="5" fillId="0" borderId="2" xfId="0" applyFont="1" applyBorder="1" applyAlignment="1" applyProtection="1">
      <alignment horizontal="left" vertical="center"/>
      <protection hidden="1"/>
    </xf>
    <xf numFmtId="0" fontId="9" fillId="0" borderId="6" xfId="0" applyFont="1" applyBorder="1" applyAlignment="1" applyProtection="1">
      <alignment horizontal="right" vertical="center"/>
      <protection hidden="1"/>
    </xf>
    <xf numFmtId="0" fontId="4" fillId="0" borderId="7" xfId="0" applyFont="1" applyBorder="1" applyAlignment="1" applyProtection="1">
      <alignment horizontal="left" vertical="center"/>
      <protection hidden="1"/>
    </xf>
    <xf numFmtId="0" fontId="4" fillId="0" borderId="12" xfId="0" applyFont="1" applyBorder="1" applyAlignment="1" applyProtection="1">
      <alignment horizontal="left" vertical="center"/>
      <protection hidden="1"/>
    </xf>
    <xf numFmtId="0" fontId="4" fillId="0" borderId="11" xfId="0" applyFont="1" applyBorder="1" applyAlignment="1" applyProtection="1">
      <alignment horizontal="left" vertical="center"/>
      <protection hidden="1"/>
    </xf>
    <xf numFmtId="0" fontId="4" fillId="0" borderId="1" xfId="0" applyFont="1" applyBorder="1" applyAlignment="1" applyProtection="1">
      <alignment horizontal="left" vertical="center"/>
      <protection hidden="1"/>
    </xf>
    <xf numFmtId="0" fontId="4" fillId="0" borderId="2" xfId="0" applyFont="1" applyBorder="1" applyAlignment="1" applyProtection="1">
      <alignment vertical="center"/>
      <protection hidden="1"/>
    </xf>
    <xf numFmtId="164" fontId="5" fillId="0" borderId="2" xfId="1" applyFont="1" applyBorder="1" applyAlignment="1" applyProtection="1">
      <alignment vertical="center"/>
      <protection hidden="1"/>
    </xf>
    <xf numFmtId="164" fontId="5" fillId="0" borderId="3" xfId="1" applyFont="1" applyBorder="1" applyAlignment="1" applyProtection="1">
      <alignment vertical="center"/>
      <protection hidden="1"/>
    </xf>
    <xf numFmtId="0" fontId="4" fillId="0" borderId="2" xfId="0" applyFont="1" applyBorder="1" applyAlignment="1" applyProtection="1">
      <alignment horizontal="left" vertical="center"/>
      <protection hidden="1"/>
    </xf>
    <xf numFmtId="0" fontId="19"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9" fillId="0" borderId="4" xfId="0" applyFont="1" applyBorder="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xf numFmtId="0" fontId="10" fillId="0" borderId="4" xfId="0" applyFont="1" applyBorder="1" applyAlignment="1" applyProtection="1">
      <alignment horizontal="center" vertical="center" wrapText="1"/>
      <protection hidden="1"/>
    </xf>
    <xf numFmtId="0" fontId="23" fillId="4" borderId="13" xfId="0" applyFont="1" applyFill="1" applyBorder="1" applyAlignment="1" applyProtection="1">
      <alignment vertical="center"/>
      <protection hidden="1"/>
    </xf>
    <xf numFmtId="0" fontId="23" fillId="4" borderId="55" xfId="0" applyFont="1" applyFill="1" applyBorder="1" applyAlignment="1" applyProtection="1">
      <alignment vertical="center"/>
      <protection hidden="1"/>
    </xf>
    <xf numFmtId="0" fontId="2" fillId="17" borderId="57" xfId="0" applyFont="1" applyFill="1" applyBorder="1" applyAlignment="1" applyProtection="1">
      <alignment vertical="center"/>
      <protection hidden="1"/>
    </xf>
    <xf numFmtId="0" fontId="2" fillId="17" borderId="21" xfId="0" applyFont="1" applyFill="1" applyBorder="1" applyAlignment="1" applyProtection="1">
      <alignment vertical="center"/>
      <protection hidden="1"/>
    </xf>
    <xf numFmtId="0" fontId="2" fillId="17" borderId="58" xfId="0" applyFont="1" applyFill="1" applyBorder="1" applyAlignment="1" applyProtection="1">
      <alignment vertical="center"/>
      <protection hidden="1"/>
    </xf>
    <xf numFmtId="0" fontId="2" fillId="17" borderId="13" xfId="0" applyFont="1" applyFill="1" applyBorder="1" applyAlignment="1" applyProtection="1">
      <alignment vertical="center"/>
      <protection hidden="1"/>
    </xf>
    <xf numFmtId="0" fontId="2" fillId="17" borderId="0" xfId="0" applyFont="1" applyFill="1" applyBorder="1" applyAlignment="1" applyProtection="1">
      <alignment vertical="center"/>
      <protection hidden="1"/>
    </xf>
    <xf numFmtId="0" fontId="2" fillId="17" borderId="61" xfId="0" applyFont="1" applyFill="1" applyBorder="1" applyAlignment="1" applyProtection="1">
      <alignment vertical="center"/>
      <protection hidden="1"/>
    </xf>
    <xf numFmtId="0" fontId="2" fillId="17" borderId="55" xfId="0" applyFont="1" applyFill="1" applyBorder="1" applyAlignment="1" applyProtection="1">
      <alignment vertical="center"/>
      <protection hidden="1"/>
    </xf>
    <xf numFmtId="0" fontId="2" fillId="17" borderId="15" xfId="0" applyFont="1" applyFill="1" applyBorder="1" applyAlignment="1" applyProtection="1">
      <alignment vertical="center"/>
      <protection hidden="1"/>
    </xf>
    <xf numFmtId="0" fontId="2" fillId="17" borderId="56" xfId="0" applyFont="1" applyFill="1" applyBorder="1" applyAlignment="1" applyProtection="1">
      <alignment vertical="center"/>
      <protection hidden="1"/>
    </xf>
    <xf numFmtId="0" fontId="21" fillId="3" borderId="57" xfId="0" applyFont="1" applyFill="1" applyBorder="1" applyAlignment="1" applyProtection="1">
      <alignment vertical="center"/>
      <protection locked="0"/>
    </xf>
    <xf numFmtId="0" fontId="21" fillId="3" borderId="41" xfId="0" applyFont="1" applyFill="1" applyBorder="1" applyAlignment="1" applyProtection="1">
      <alignment vertical="center"/>
      <protection locked="0"/>
    </xf>
    <xf numFmtId="0" fontId="21" fillId="3" borderId="43" xfId="0" applyFont="1" applyFill="1" applyBorder="1" applyAlignment="1" applyProtection="1">
      <alignment vertical="center"/>
      <protection locked="0"/>
    </xf>
    <xf numFmtId="0" fontId="2" fillId="11" borderId="0" xfId="0" applyFont="1" applyFill="1" applyAlignment="1" applyProtection="1">
      <alignment horizontal="center" vertical="center"/>
      <protection hidden="1"/>
    </xf>
    <xf numFmtId="0" fontId="9" fillId="0" borderId="1" xfId="0" applyFont="1" applyBorder="1" applyAlignment="1" applyProtection="1">
      <alignment vertical="center" wrapText="1"/>
      <protection hidden="1"/>
    </xf>
    <xf numFmtId="0" fontId="40" fillId="0" borderId="0" xfId="0" applyFont="1" applyAlignment="1" applyProtection="1">
      <alignment vertical="center"/>
      <protection hidden="1"/>
    </xf>
    <xf numFmtId="0" fontId="4" fillId="0" borderId="0" xfId="0" applyFont="1" applyAlignment="1" applyProtection="1">
      <alignment horizontal="right" vertical="center"/>
      <protection hidden="1"/>
    </xf>
    <xf numFmtId="2" fontId="8" fillId="0" borderId="0" xfId="0" applyNumberFormat="1" applyFont="1" applyAlignment="1" applyProtection="1">
      <alignment vertical="center" wrapText="1"/>
      <protection hidden="1"/>
    </xf>
    <xf numFmtId="2" fontId="4" fillId="0" borderId="0" xfId="0" applyNumberFormat="1" applyFont="1" applyAlignment="1" applyProtection="1">
      <alignment vertical="center" wrapText="1"/>
      <protection hidden="1"/>
    </xf>
    <xf numFmtId="2" fontId="8" fillId="0" borderId="0" xfId="0" applyNumberFormat="1" applyFont="1" applyAlignment="1" applyProtection="1">
      <alignment horizontal="right" vertical="center" wrapText="1" indent="1"/>
      <protection hidden="1"/>
    </xf>
    <xf numFmtId="2" fontId="4" fillId="0" borderId="0" xfId="0" applyNumberFormat="1" applyFont="1" applyAlignment="1" applyProtection="1">
      <alignment horizontal="right" vertical="center" wrapText="1" indent="1"/>
      <protection hidden="1"/>
    </xf>
    <xf numFmtId="0" fontId="43" fillId="0" borderId="0" xfId="0" applyFont="1" applyAlignment="1" applyProtection="1">
      <alignment vertical="center"/>
      <protection hidden="1"/>
    </xf>
    <xf numFmtId="0" fontId="2" fillId="0" borderId="0" xfId="0" applyFont="1" applyAlignment="1" applyProtection="1">
      <alignment vertical="center"/>
      <protection hidden="1"/>
    </xf>
    <xf numFmtId="0" fontId="2" fillId="0" borderId="0" xfId="0" applyNumberFormat="1" applyFont="1" applyAlignment="1" applyProtection="1">
      <alignment horizontal="right" vertical="center"/>
      <protection hidden="1"/>
    </xf>
    <xf numFmtId="0" fontId="2" fillId="0" borderId="0" xfId="0" applyFont="1" applyAlignment="1" applyProtection="1">
      <alignment horizontal="center" vertical="center" wrapText="1"/>
      <protection hidden="1"/>
    </xf>
    <xf numFmtId="0" fontId="44" fillId="0" borderId="0" xfId="0" applyFont="1" applyFill="1" applyAlignment="1" applyProtection="1">
      <alignment horizontal="center" vertical="center" wrapText="1"/>
      <protection hidden="1"/>
    </xf>
    <xf numFmtId="0" fontId="2" fillId="0" borderId="37" xfId="0" applyFont="1" applyBorder="1" applyAlignment="1" applyProtection="1">
      <alignment vertical="center" shrinkToFit="1"/>
      <protection hidden="1"/>
    </xf>
    <xf numFmtId="0" fontId="20" fillId="3" borderId="88" xfId="0" applyFont="1" applyFill="1" applyBorder="1" applyAlignment="1" applyProtection="1">
      <alignment horizontal="center" vertical="center" shrinkToFit="1"/>
      <protection hidden="1"/>
    </xf>
    <xf numFmtId="0" fontId="20" fillId="3" borderId="62" xfId="0" applyFont="1" applyFill="1" applyBorder="1" applyAlignment="1" applyProtection="1">
      <alignment horizontal="center" vertical="center" shrinkToFit="1"/>
      <protection hidden="1"/>
    </xf>
    <xf numFmtId="0" fontId="21" fillId="3" borderId="88" xfId="0" applyFont="1" applyFill="1" applyBorder="1" applyAlignment="1" applyProtection="1">
      <alignment vertical="center" shrinkToFit="1"/>
      <protection hidden="1"/>
    </xf>
    <xf numFmtId="0" fontId="21" fillId="3" borderId="62" xfId="0" applyFont="1" applyFill="1" applyBorder="1" applyAlignment="1" applyProtection="1">
      <alignment vertical="center" shrinkToFit="1"/>
      <protection hidden="1"/>
    </xf>
    <xf numFmtId="0" fontId="21" fillId="0" borderId="0" xfId="0" applyFont="1" applyAlignment="1" applyProtection="1">
      <alignment vertical="center"/>
      <protection hidden="1"/>
    </xf>
    <xf numFmtId="0" fontId="45" fillId="0" borderId="0" xfId="0" applyFont="1" applyBorder="1" applyAlignment="1" applyProtection="1">
      <alignment vertical="center" wrapText="1"/>
      <protection hidden="1"/>
    </xf>
    <xf numFmtId="0" fontId="43" fillId="0" borderId="0" xfId="0" applyFont="1" applyBorder="1" applyAlignment="1" applyProtection="1">
      <alignment vertical="center"/>
      <protection hidden="1"/>
    </xf>
    <xf numFmtId="0" fontId="41" fillId="0" borderId="0" xfId="0" applyFont="1" applyBorder="1" applyAlignment="1" applyProtection="1">
      <alignment vertical="center"/>
      <protection hidden="1"/>
    </xf>
    <xf numFmtId="0" fontId="46" fillId="0" borderId="0" xfId="0" applyFont="1" applyBorder="1" applyAlignment="1" applyProtection="1">
      <alignment vertical="center" wrapText="1"/>
      <protection hidden="1"/>
    </xf>
    <xf numFmtId="0" fontId="46" fillId="0" borderId="0" xfId="0" applyFont="1" applyBorder="1" applyAlignment="1" applyProtection="1">
      <alignment vertical="center"/>
      <protection hidden="1"/>
    </xf>
    <xf numFmtId="0" fontId="2" fillId="0" borderId="0" xfId="0" applyFont="1" applyBorder="1" applyAlignment="1" applyProtection="1">
      <alignment vertical="top"/>
      <protection hidden="1"/>
    </xf>
    <xf numFmtId="0" fontId="29" fillId="0" borderId="0" xfId="0" applyFont="1" applyAlignment="1" applyProtection="1">
      <alignment vertical="center"/>
      <protection hidden="1"/>
    </xf>
    <xf numFmtId="0" fontId="41" fillId="0" borderId="0" xfId="0" applyFont="1" applyBorder="1" applyAlignment="1" applyProtection="1">
      <alignment vertical="center" wrapText="1"/>
      <protection hidden="1"/>
    </xf>
    <xf numFmtId="0" fontId="43" fillId="0" borderId="0" xfId="0" applyNumberFormat="1" applyFont="1" applyAlignment="1" applyProtection="1">
      <alignment horizontal="right" vertical="center"/>
      <protection hidden="1"/>
    </xf>
    <xf numFmtId="0" fontId="2" fillId="0" borderId="0" xfId="0" applyFont="1" applyBorder="1" applyAlignment="1" applyProtection="1">
      <alignment horizontal="left" vertical="center"/>
      <protection hidden="1"/>
    </xf>
    <xf numFmtId="0" fontId="2" fillId="18" borderId="4" xfId="0" applyFont="1" applyFill="1" applyBorder="1" applyAlignment="1" applyProtection="1">
      <alignment vertical="center"/>
      <protection hidden="1"/>
    </xf>
    <xf numFmtId="0" fontId="47" fillId="0" borderId="2" xfId="0" applyFont="1" applyBorder="1" applyAlignment="1" applyProtection="1">
      <alignment vertical="center"/>
      <protection hidden="1"/>
    </xf>
    <xf numFmtId="0" fontId="2" fillId="18" borderId="0" xfId="0" applyFont="1" applyFill="1" applyAlignment="1" applyProtection="1">
      <alignment vertical="center"/>
      <protection hidden="1"/>
    </xf>
    <xf numFmtId="168" fontId="2" fillId="18" borderId="0" xfId="0" applyNumberFormat="1" applyFont="1" applyFill="1" applyAlignment="1" applyProtection="1">
      <alignment vertical="center"/>
      <protection hidden="1"/>
    </xf>
    <xf numFmtId="0" fontId="2" fillId="18" borderId="43" xfId="0" applyNumberFormat="1" applyFont="1" applyFill="1" applyBorder="1" applyAlignment="1" applyProtection="1">
      <alignment vertical="center"/>
      <protection hidden="1"/>
    </xf>
    <xf numFmtId="0" fontId="5" fillId="0" borderId="3" xfId="0" applyFont="1" applyFill="1" applyBorder="1" applyAlignment="1" applyProtection="1">
      <alignment horizontal="left" vertical="center"/>
      <protection hidden="1"/>
    </xf>
    <xf numFmtId="0" fontId="21" fillId="0" borderId="15" xfId="0" applyFont="1" applyBorder="1" applyAlignment="1" applyProtection="1">
      <alignment vertical="center"/>
      <protection hidden="1"/>
    </xf>
    <xf numFmtId="49" fontId="2" fillId="0" borderId="0" xfId="0" applyNumberFormat="1" applyFont="1" applyBorder="1" applyAlignment="1" applyProtection="1">
      <alignment vertical="center"/>
      <protection hidden="1"/>
    </xf>
    <xf numFmtId="0" fontId="2" fillId="0" borderId="0" xfId="0" applyFont="1" applyBorder="1" applyAlignment="1" applyProtection="1">
      <alignment vertical="center"/>
      <protection hidden="1"/>
    </xf>
    <xf numFmtId="0" fontId="2" fillId="3" borderId="62" xfId="0" applyFont="1" applyFill="1" applyBorder="1" applyAlignment="1" applyProtection="1">
      <alignment vertical="center"/>
      <protection locked="0"/>
    </xf>
    <xf numFmtId="0" fontId="2" fillId="3" borderId="46" xfId="0" applyFont="1" applyFill="1" applyBorder="1" applyAlignment="1" applyProtection="1">
      <alignment vertical="center"/>
      <protection locked="0"/>
    </xf>
    <xf numFmtId="0" fontId="2" fillId="3" borderId="93" xfId="0" applyFont="1" applyFill="1" applyBorder="1" applyAlignment="1" applyProtection="1">
      <alignment vertical="center"/>
      <protection locked="0"/>
    </xf>
    <xf numFmtId="0" fontId="2" fillId="3" borderId="25" xfId="0" applyFont="1" applyFill="1" applyBorder="1" applyAlignment="1" applyProtection="1">
      <alignment horizontal="center" vertical="center"/>
      <protection locked="0"/>
    </xf>
    <xf numFmtId="0" fontId="2" fillId="3" borderId="26" xfId="0" applyFont="1" applyFill="1" applyBorder="1" applyAlignment="1" applyProtection="1">
      <alignment horizontal="center" vertical="center"/>
      <protection locked="0"/>
    </xf>
    <xf numFmtId="0" fontId="2" fillId="3" borderId="52"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30" xfId="0" applyFont="1" applyFill="1" applyBorder="1" applyAlignment="1" applyProtection="1">
      <alignment horizontal="center" vertical="center"/>
      <protection locked="0"/>
    </xf>
    <xf numFmtId="0" fontId="2" fillId="3" borderId="31" xfId="0" applyFont="1" applyFill="1" applyBorder="1" applyAlignment="1" applyProtection="1">
      <alignment horizontal="center" vertical="center"/>
      <protection locked="0"/>
    </xf>
    <xf numFmtId="0" fontId="4" fillId="0" borderId="0" xfId="0" applyFont="1" applyAlignment="1" applyProtection="1">
      <alignment horizontal="left" vertical="center" wrapText="1"/>
      <protection hidden="1"/>
    </xf>
    <xf numFmtId="0" fontId="9" fillId="0" borderId="5" xfId="0" applyFont="1" applyBorder="1" applyAlignment="1" applyProtection="1">
      <alignment horizontal="left" vertical="center"/>
      <protection hidden="1"/>
    </xf>
    <xf numFmtId="0" fontId="4" fillId="0" borderId="1" xfId="0" applyFont="1" applyBorder="1" applyAlignment="1" applyProtection="1">
      <alignment horizontal="left" vertical="center"/>
      <protection hidden="1"/>
    </xf>
    <xf numFmtId="0" fontId="2" fillId="3" borderId="42" xfId="0" applyFont="1" applyFill="1" applyBorder="1" applyAlignment="1" applyProtection="1">
      <alignment horizontal="center" vertical="center"/>
      <protection locked="0"/>
    </xf>
    <xf numFmtId="0" fontId="21" fillId="3" borderId="41" xfId="0" applyFont="1" applyFill="1" applyBorder="1" applyAlignment="1" applyProtection="1">
      <alignment vertical="center" shrinkToFit="1"/>
      <protection hidden="1"/>
    </xf>
    <xf numFmtId="0" fontId="21" fillId="3" borderId="18" xfId="0" applyFont="1" applyFill="1" applyBorder="1" applyAlignment="1" applyProtection="1">
      <alignment vertical="center" shrinkToFit="1"/>
      <protection hidden="1"/>
    </xf>
    <xf numFmtId="0" fontId="21" fillId="3" borderId="43" xfId="0" applyFont="1" applyFill="1" applyBorder="1" applyAlignment="1" applyProtection="1">
      <alignment vertical="center" shrinkToFit="1"/>
      <protection hidden="1"/>
    </xf>
    <xf numFmtId="0" fontId="2" fillId="4" borderId="41" xfId="0" applyFont="1" applyFill="1" applyBorder="1" applyAlignment="1" applyProtection="1">
      <alignment vertical="center" wrapText="1"/>
      <protection hidden="1"/>
    </xf>
    <xf numFmtId="0" fontId="2" fillId="4" borderId="18" xfId="0" applyFont="1" applyFill="1" applyBorder="1" applyAlignment="1" applyProtection="1">
      <alignment vertical="center" wrapText="1"/>
      <protection hidden="1"/>
    </xf>
    <xf numFmtId="0" fontId="2" fillId="0" borderId="100" xfId="0" applyFont="1" applyBorder="1" applyAlignment="1" applyProtection="1">
      <alignment vertical="center" shrinkToFit="1"/>
      <protection hidden="1"/>
    </xf>
    <xf numFmtId="0" fontId="2" fillId="0" borderId="88" xfId="0" applyFont="1" applyBorder="1" applyAlignment="1" applyProtection="1">
      <alignment vertical="center" shrinkToFit="1"/>
      <protection hidden="1"/>
    </xf>
    <xf numFmtId="0" fontId="2" fillId="0" borderId="101" xfId="0" applyFont="1" applyBorder="1" applyAlignment="1" applyProtection="1">
      <alignment vertical="center" shrinkToFit="1"/>
      <protection hidden="1"/>
    </xf>
    <xf numFmtId="0" fontId="2" fillId="3" borderId="62" xfId="0" applyFont="1" applyFill="1" applyBorder="1" applyAlignment="1" applyProtection="1">
      <alignment horizontal="center" vertical="center"/>
      <protection locked="0"/>
    </xf>
    <xf numFmtId="0" fontId="2" fillId="4" borderId="0" xfId="0" applyFont="1" applyFill="1" applyAlignment="1" applyProtection="1">
      <alignment horizontal="center" vertical="center"/>
      <protection hidden="1"/>
    </xf>
    <xf numFmtId="0" fontId="2" fillId="18" borderId="48" xfId="0" applyFont="1" applyFill="1" applyBorder="1" applyAlignment="1" applyProtection="1">
      <alignment vertical="center"/>
      <protection hidden="1"/>
    </xf>
    <xf numFmtId="0" fontId="2" fillId="0" borderId="106" xfId="0" applyFont="1" applyBorder="1" applyAlignment="1" applyProtection="1">
      <alignment vertical="center" shrinkToFit="1"/>
      <protection hidden="1"/>
    </xf>
    <xf numFmtId="14" fontId="4" fillId="0" borderId="1" xfId="0" applyNumberFormat="1" applyFont="1" applyBorder="1" applyAlignment="1" applyProtection="1">
      <alignment horizontal="center" vertical="center" shrinkToFit="1"/>
      <protection hidden="1"/>
    </xf>
    <xf numFmtId="0" fontId="4" fillId="0" borderId="4" xfId="0" applyFont="1" applyBorder="1" applyAlignment="1" applyProtection="1">
      <alignment horizontal="center" vertical="center" shrinkToFit="1"/>
      <protection hidden="1"/>
    </xf>
    <xf numFmtId="2" fontId="4" fillId="0" borderId="4" xfId="0" applyNumberFormat="1" applyFont="1" applyBorder="1" applyAlignment="1" applyProtection="1">
      <alignment horizontal="center" vertical="center" shrinkToFit="1"/>
      <protection hidden="1"/>
    </xf>
    <xf numFmtId="43" fontId="4" fillId="0" borderId="1" xfId="1" applyNumberFormat="1" applyFont="1" applyBorder="1" applyAlignment="1" applyProtection="1">
      <alignment horizontal="center" vertical="center" shrinkToFit="1"/>
      <protection hidden="1"/>
    </xf>
    <xf numFmtId="0" fontId="33" fillId="4" borderId="0" xfId="2" applyFont="1" applyFill="1" applyBorder="1" applyAlignment="1" applyProtection="1">
      <alignment horizontal="left" vertical="top"/>
      <protection hidden="1"/>
    </xf>
    <xf numFmtId="0" fontId="2" fillId="3" borderId="48" xfId="0" applyFont="1" applyFill="1" applyBorder="1" applyAlignment="1" applyProtection="1">
      <alignment horizontal="center" vertical="center"/>
      <protection locked="0"/>
    </xf>
    <xf numFmtId="0" fontId="20" fillId="18" borderId="41" xfId="0" applyFont="1" applyFill="1" applyBorder="1" applyAlignment="1" applyProtection="1">
      <alignment vertical="center"/>
      <protection hidden="1"/>
    </xf>
    <xf numFmtId="0" fontId="2" fillId="3" borderId="31" xfId="0" applyFont="1" applyFill="1" applyBorder="1" applyAlignment="1" applyProtection="1">
      <alignment horizontal="center" vertical="center" textRotation="90"/>
      <protection locked="0"/>
    </xf>
    <xf numFmtId="0" fontId="2" fillId="3" borderId="31" xfId="0" applyFont="1" applyFill="1" applyBorder="1" applyAlignment="1" applyProtection="1">
      <alignment horizontal="center" vertical="center" textRotation="90" wrapText="1"/>
      <protection locked="0"/>
    </xf>
    <xf numFmtId="0" fontId="2" fillId="3" borderId="30" xfId="0" applyFont="1" applyFill="1" applyBorder="1" applyAlignment="1" applyProtection="1">
      <alignment horizontal="center" vertical="center" textRotation="90"/>
      <protection locked="0"/>
    </xf>
    <xf numFmtId="0" fontId="2" fillId="3" borderId="34" xfId="0" applyFont="1" applyFill="1" applyBorder="1" applyAlignment="1" applyProtection="1">
      <alignment horizontal="center" vertical="center" shrinkToFit="1"/>
      <protection locked="0"/>
    </xf>
    <xf numFmtId="0" fontId="2" fillId="3" borderId="35" xfId="0" applyFont="1" applyFill="1" applyBorder="1" applyAlignment="1" applyProtection="1">
      <alignment vertical="center" shrinkToFit="1"/>
      <protection locked="0"/>
    </xf>
    <xf numFmtId="0" fontId="2" fillId="0" borderId="35" xfId="0" applyFont="1" applyBorder="1" applyAlignment="1" applyProtection="1">
      <alignment vertical="center" shrinkToFit="1"/>
      <protection locked="0"/>
    </xf>
    <xf numFmtId="0" fontId="2" fillId="0" borderId="35" xfId="0" applyNumberFormat="1" applyFont="1" applyBorder="1" applyAlignment="1" applyProtection="1">
      <alignment horizontal="center" vertical="center" shrinkToFit="1"/>
      <protection locked="0"/>
    </xf>
    <xf numFmtId="1" fontId="2" fillId="0" borderId="35" xfId="0" applyNumberFormat="1" applyFont="1" applyBorder="1" applyAlignment="1" applyProtection="1">
      <alignment vertical="center" shrinkToFit="1"/>
      <protection locked="0"/>
    </xf>
    <xf numFmtId="0" fontId="2" fillId="0" borderId="35" xfId="0" applyFont="1" applyBorder="1" applyAlignment="1" applyProtection="1">
      <alignment horizontal="center" vertical="center" shrinkToFit="1"/>
      <protection locked="0"/>
    </xf>
    <xf numFmtId="1" fontId="2" fillId="0" borderId="35" xfId="0" applyNumberFormat="1" applyFont="1" applyBorder="1" applyAlignment="1" applyProtection="1">
      <alignment horizontal="right" vertical="center" shrinkToFit="1"/>
      <protection locked="0"/>
    </xf>
    <xf numFmtId="0" fontId="2" fillId="0" borderId="36" xfId="0" applyFont="1" applyBorder="1" applyAlignment="1" applyProtection="1">
      <alignment vertical="center" shrinkToFit="1"/>
      <protection locked="0"/>
    </xf>
    <xf numFmtId="0" fontId="2" fillId="0" borderId="34" xfId="0" applyFont="1" applyBorder="1" applyAlignment="1" applyProtection="1">
      <alignment vertical="center" shrinkToFit="1"/>
      <protection locked="0"/>
    </xf>
    <xf numFmtId="0" fontId="2" fillId="0" borderId="37" xfId="0" applyFont="1" applyBorder="1" applyAlignment="1" applyProtection="1">
      <alignment vertical="center" shrinkToFit="1"/>
      <protection locked="0"/>
    </xf>
    <xf numFmtId="0" fontId="2" fillId="3" borderId="38" xfId="0" applyFont="1" applyFill="1" applyBorder="1" applyAlignment="1" applyProtection="1">
      <alignment horizontal="center" vertical="center" shrinkToFit="1"/>
      <protection locked="0"/>
    </xf>
    <xf numFmtId="0" fontId="2" fillId="0" borderId="39" xfId="0" applyFont="1" applyBorder="1" applyAlignment="1" applyProtection="1">
      <alignment vertical="center" shrinkToFit="1"/>
      <protection locked="0"/>
    </xf>
    <xf numFmtId="0" fontId="2" fillId="0" borderId="39" xfId="0" applyFont="1" applyBorder="1" applyAlignment="1" applyProtection="1">
      <alignment horizontal="center" vertical="center" shrinkToFit="1"/>
      <protection locked="0"/>
    </xf>
    <xf numFmtId="0" fontId="2" fillId="0" borderId="85" xfId="0" applyFont="1" applyBorder="1" applyAlignment="1" applyProtection="1">
      <alignment vertical="center" shrinkToFit="1"/>
      <protection locked="0"/>
    </xf>
    <xf numFmtId="0" fontId="2" fillId="0" borderId="85" xfId="0" applyNumberFormat="1" applyFont="1" applyBorder="1" applyAlignment="1" applyProtection="1">
      <alignment horizontal="center" vertical="center" shrinkToFit="1"/>
      <protection locked="0"/>
    </xf>
    <xf numFmtId="0" fontId="2" fillId="0" borderId="86" xfId="0" applyFont="1" applyBorder="1" applyAlignment="1" applyProtection="1">
      <alignment vertical="center" shrinkToFit="1"/>
      <protection locked="0"/>
    </xf>
    <xf numFmtId="0" fontId="2" fillId="0" borderId="86" xfId="0" applyFont="1" applyBorder="1" applyAlignment="1" applyProtection="1">
      <alignment horizontal="center" vertical="center" shrinkToFit="1"/>
      <protection locked="0"/>
    </xf>
    <xf numFmtId="0" fontId="2" fillId="0" borderId="85" xfId="0" applyFont="1" applyBorder="1" applyAlignment="1" applyProtection="1">
      <alignment horizontal="center" vertical="center" shrinkToFit="1"/>
      <protection locked="0"/>
    </xf>
    <xf numFmtId="0" fontId="2" fillId="0" borderId="87" xfId="0" applyFont="1" applyBorder="1" applyAlignment="1" applyProtection="1">
      <alignment vertical="center" shrinkToFit="1"/>
      <protection locked="0"/>
    </xf>
    <xf numFmtId="0" fontId="2" fillId="0" borderId="99" xfId="0" applyFont="1" applyBorder="1" applyAlignment="1" applyProtection="1">
      <alignment vertical="center" shrinkToFit="1"/>
      <protection locked="0"/>
    </xf>
    <xf numFmtId="0" fontId="2" fillId="0" borderId="85" xfId="0" applyFont="1" applyBorder="1" applyAlignment="1" applyProtection="1">
      <alignment horizontal="right" vertical="center" shrinkToFit="1"/>
      <protection locked="0"/>
    </xf>
    <xf numFmtId="0" fontId="2" fillId="0" borderId="86" xfId="0" applyFont="1" applyBorder="1" applyAlignment="1" applyProtection="1">
      <alignment horizontal="right" vertical="center" shrinkToFit="1"/>
      <protection locked="0"/>
    </xf>
    <xf numFmtId="0" fontId="2" fillId="0" borderId="35" xfId="0" applyFont="1" applyBorder="1" applyAlignment="1" applyProtection="1">
      <alignment horizontal="right" vertical="center" shrinkToFit="1"/>
      <protection locked="0"/>
    </xf>
    <xf numFmtId="0" fontId="2" fillId="3" borderId="103" xfId="0" applyFont="1" applyFill="1" applyBorder="1" applyAlignment="1" applyProtection="1">
      <alignment horizontal="center" vertical="center" shrinkToFit="1"/>
      <protection locked="0"/>
    </xf>
    <xf numFmtId="0" fontId="2" fillId="3" borderId="104" xfId="0" applyFont="1" applyFill="1" applyBorder="1" applyAlignment="1" applyProtection="1">
      <alignment vertical="center" shrinkToFit="1"/>
      <protection locked="0"/>
    </xf>
    <xf numFmtId="0" fontId="2" fillId="0" borderId="104" xfId="0" applyFont="1" applyBorder="1" applyAlignment="1" applyProtection="1">
      <alignment vertical="center" shrinkToFit="1"/>
      <protection locked="0"/>
    </xf>
    <xf numFmtId="0" fontId="2" fillId="0" borderId="104" xfId="0" applyNumberFormat="1" applyFont="1" applyBorder="1" applyAlignment="1" applyProtection="1">
      <alignment horizontal="center" vertical="center" shrinkToFit="1"/>
      <protection locked="0"/>
    </xf>
    <xf numFmtId="0" fontId="2" fillId="0" borderId="104" xfId="0" applyFont="1" applyBorder="1" applyAlignment="1" applyProtection="1">
      <alignment horizontal="center" vertical="center" shrinkToFit="1"/>
      <protection locked="0"/>
    </xf>
    <xf numFmtId="1" fontId="2" fillId="0" borderId="104" xfId="0" applyNumberFormat="1" applyFont="1" applyBorder="1" applyAlignment="1" applyProtection="1">
      <alignment horizontal="right" vertical="center" shrinkToFit="1"/>
      <protection locked="0"/>
    </xf>
    <xf numFmtId="0" fontId="2" fillId="0" borderId="105" xfId="0" applyFont="1" applyBorder="1" applyAlignment="1" applyProtection="1">
      <alignment vertical="center" shrinkToFit="1"/>
      <protection locked="0"/>
    </xf>
    <xf numFmtId="0" fontId="2" fillId="0" borderId="102" xfId="0" applyFont="1" applyBorder="1" applyAlignment="1" applyProtection="1">
      <alignment vertical="center" shrinkToFit="1"/>
      <protection locked="0"/>
    </xf>
    <xf numFmtId="0" fontId="2" fillId="0" borderId="39" xfId="0" applyNumberFormat="1" applyFont="1" applyBorder="1" applyAlignment="1" applyProtection="1">
      <alignment horizontal="center" vertical="center" shrinkToFit="1"/>
      <protection locked="0"/>
    </xf>
    <xf numFmtId="1" fontId="2" fillId="0" borderId="39" xfId="0" applyNumberFormat="1" applyFont="1" applyBorder="1" applyAlignment="1" applyProtection="1">
      <alignment horizontal="right" vertical="center" shrinkToFit="1"/>
      <protection locked="0"/>
    </xf>
    <xf numFmtId="0" fontId="2" fillId="0" borderId="40" xfId="0" applyFont="1" applyBorder="1" applyAlignment="1" applyProtection="1">
      <alignment vertical="center" shrinkToFit="1"/>
      <protection locked="0"/>
    </xf>
    <xf numFmtId="0" fontId="2" fillId="0" borderId="86" xfId="0" applyNumberFormat="1" applyFont="1" applyBorder="1" applyAlignment="1" applyProtection="1">
      <alignment horizontal="center" vertical="center" shrinkToFit="1"/>
      <protection locked="0"/>
    </xf>
    <xf numFmtId="1" fontId="2" fillId="0" borderId="86" xfId="0" applyNumberFormat="1" applyFont="1" applyBorder="1" applyAlignment="1" applyProtection="1">
      <alignment horizontal="right" vertical="center" shrinkToFit="1"/>
      <protection locked="0"/>
    </xf>
    <xf numFmtId="0" fontId="2" fillId="0" borderId="109" xfId="0" applyFont="1" applyBorder="1" applyAlignment="1" applyProtection="1">
      <alignment vertical="center" shrinkToFit="1"/>
      <protection locked="0"/>
    </xf>
    <xf numFmtId="0" fontId="2" fillId="0" borderId="110" xfId="0" applyFont="1" applyBorder="1" applyAlignment="1" applyProtection="1">
      <alignment vertical="center" shrinkToFit="1"/>
      <protection locked="0"/>
    </xf>
    <xf numFmtId="0" fontId="54" fillId="5" borderId="0" xfId="0" applyFont="1" applyFill="1" applyAlignment="1" applyProtection="1">
      <alignment horizontal="center" vertical="center"/>
      <protection hidden="1"/>
    </xf>
    <xf numFmtId="0" fontId="53" fillId="4" borderId="41" xfId="2" applyFont="1" applyFill="1" applyBorder="1" applyAlignment="1" applyProtection="1">
      <alignment horizontal="center" vertical="center"/>
      <protection hidden="1"/>
    </xf>
    <xf numFmtId="0" fontId="53" fillId="4" borderId="18" xfId="2" applyFont="1" applyFill="1" applyBorder="1" applyAlignment="1" applyProtection="1">
      <alignment horizontal="center" vertical="center"/>
      <protection hidden="1"/>
    </xf>
    <xf numFmtId="0" fontId="53" fillId="4" borderId="43" xfId="2" applyFont="1" applyFill="1" applyBorder="1" applyAlignment="1" applyProtection="1">
      <alignment horizontal="center" vertical="center"/>
      <protection hidden="1"/>
    </xf>
    <xf numFmtId="0" fontId="2" fillId="4" borderId="0" xfId="0" applyFont="1" applyFill="1" applyAlignment="1" applyProtection="1">
      <alignment horizontal="center" vertical="center"/>
      <protection hidden="1"/>
    </xf>
    <xf numFmtId="0" fontId="2" fillId="4" borderId="57" xfId="0" applyFont="1" applyFill="1" applyBorder="1" applyAlignment="1" applyProtection="1">
      <alignment horizontal="center" vertical="center"/>
      <protection hidden="1"/>
    </xf>
    <xf numFmtId="0" fontId="2" fillId="4" borderId="58" xfId="0" applyFont="1" applyFill="1" applyBorder="1" applyAlignment="1" applyProtection="1">
      <alignment horizontal="center" vertical="center"/>
      <protection hidden="1"/>
    </xf>
    <xf numFmtId="0" fontId="2" fillId="4" borderId="41" xfId="0" applyFont="1" applyFill="1" applyBorder="1" applyAlignment="1" applyProtection="1">
      <alignment horizontal="center" vertical="center"/>
      <protection hidden="1"/>
    </xf>
    <xf numFmtId="0" fontId="2" fillId="4" borderId="43" xfId="0" applyFont="1" applyFill="1" applyBorder="1" applyAlignment="1" applyProtection="1">
      <alignment horizontal="center" vertical="center"/>
      <protection hidden="1"/>
    </xf>
    <xf numFmtId="0" fontId="2" fillId="7" borderId="57" xfId="0" applyFont="1" applyFill="1" applyBorder="1" applyAlignment="1" applyProtection="1">
      <alignment horizontal="center" vertical="center"/>
      <protection hidden="1"/>
    </xf>
    <xf numFmtId="0" fontId="2" fillId="7" borderId="21" xfId="0" applyFont="1" applyFill="1" applyBorder="1" applyAlignment="1" applyProtection="1">
      <alignment horizontal="center" vertical="center"/>
      <protection hidden="1"/>
    </xf>
    <xf numFmtId="0" fontId="2" fillId="7" borderId="58" xfId="0" applyFont="1" applyFill="1" applyBorder="1" applyAlignment="1" applyProtection="1">
      <alignment horizontal="center" vertical="center"/>
      <protection hidden="1"/>
    </xf>
    <xf numFmtId="0" fontId="2" fillId="7" borderId="55" xfId="0" applyFont="1" applyFill="1" applyBorder="1" applyAlignment="1" applyProtection="1">
      <alignment horizontal="center" vertical="center"/>
      <protection hidden="1"/>
    </xf>
    <xf numFmtId="0" fontId="2" fillId="7" borderId="15" xfId="0" applyFont="1" applyFill="1" applyBorder="1" applyAlignment="1" applyProtection="1">
      <alignment horizontal="center" vertical="center"/>
      <protection hidden="1"/>
    </xf>
    <xf numFmtId="0" fontId="2" fillId="7" borderId="56" xfId="0" applyFont="1" applyFill="1" applyBorder="1" applyAlignment="1" applyProtection="1">
      <alignment horizontal="center" vertical="center"/>
      <protection hidden="1"/>
    </xf>
    <xf numFmtId="0" fontId="21" fillId="4" borderId="52" xfId="0" applyFont="1" applyFill="1" applyBorder="1" applyAlignment="1" applyProtection="1">
      <alignment horizontal="left" vertical="center" indent="1"/>
      <protection hidden="1"/>
    </xf>
    <xf numFmtId="0" fontId="21" fillId="4" borderId="4" xfId="0" applyFont="1" applyFill="1" applyBorder="1" applyAlignment="1" applyProtection="1">
      <alignment horizontal="left" vertical="center" indent="1"/>
      <protection hidden="1"/>
    </xf>
    <xf numFmtId="0" fontId="21" fillId="3" borderId="4" xfId="0" applyFont="1" applyFill="1" applyBorder="1" applyAlignment="1" applyProtection="1">
      <alignment horizontal="left" vertical="center" indent="1"/>
      <protection locked="0"/>
    </xf>
    <xf numFmtId="0" fontId="21" fillId="3" borderId="53" xfId="0" applyFont="1" applyFill="1" applyBorder="1" applyAlignment="1" applyProtection="1">
      <alignment horizontal="left" vertical="center" indent="1"/>
      <protection locked="0"/>
    </xf>
    <xf numFmtId="0" fontId="25" fillId="4" borderId="41" xfId="0" applyFont="1" applyFill="1" applyBorder="1" applyAlignment="1" applyProtection="1">
      <alignment horizontal="center" vertical="center"/>
      <protection hidden="1"/>
    </xf>
    <xf numFmtId="0" fontId="25" fillId="4" borderId="18" xfId="0" applyFont="1" applyFill="1" applyBorder="1" applyAlignment="1" applyProtection="1">
      <alignment horizontal="center" vertical="center"/>
      <protection hidden="1"/>
    </xf>
    <xf numFmtId="0" fontId="2" fillId="3" borderId="41" xfId="0" applyFont="1" applyFill="1" applyBorder="1" applyAlignment="1" applyProtection="1">
      <alignment horizontal="center" vertical="center"/>
      <protection locked="0"/>
    </xf>
    <xf numFmtId="0" fontId="2" fillId="3" borderId="43" xfId="0" applyFont="1" applyFill="1" applyBorder="1" applyAlignment="1" applyProtection="1">
      <alignment horizontal="center" vertical="center"/>
      <protection locked="0"/>
    </xf>
    <xf numFmtId="0" fontId="24" fillId="4" borderId="41" xfId="0" applyFont="1" applyFill="1" applyBorder="1" applyAlignment="1" applyProtection="1">
      <alignment horizontal="center" vertical="center"/>
      <protection hidden="1"/>
    </xf>
    <xf numFmtId="0" fontId="24" fillId="4" borderId="18" xfId="0" applyFont="1" applyFill="1" applyBorder="1" applyAlignment="1" applyProtection="1">
      <alignment horizontal="center" vertical="center"/>
      <protection hidden="1"/>
    </xf>
    <xf numFmtId="0" fontId="2" fillId="3" borderId="84" xfId="0" applyFont="1" applyFill="1" applyBorder="1" applyAlignment="1" applyProtection="1">
      <alignment horizontal="center" vertical="center"/>
      <protection locked="0"/>
    </xf>
    <xf numFmtId="0" fontId="2" fillId="3" borderId="60" xfId="0" applyFont="1" applyFill="1" applyBorder="1" applyAlignment="1" applyProtection="1">
      <alignment horizontal="center" vertical="center"/>
      <protection locked="0"/>
    </xf>
    <xf numFmtId="0" fontId="2" fillId="3" borderId="65" xfId="0" applyFont="1" applyFill="1" applyBorder="1" applyAlignment="1" applyProtection="1">
      <alignment horizontal="center" vertical="center"/>
      <protection locked="0"/>
    </xf>
    <xf numFmtId="0" fontId="2" fillId="3" borderId="18" xfId="0" applyFont="1" applyFill="1" applyBorder="1" applyAlignment="1" applyProtection="1">
      <alignment horizontal="center" vertical="center"/>
      <protection locked="0"/>
    </xf>
    <xf numFmtId="0" fontId="2" fillId="4" borderId="18" xfId="0" applyFont="1" applyFill="1" applyBorder="1" applyAlignment="1" applyProtection="1">
      <alignment horizontal="center" vertical="center"/>
      <protection hidden="1"/>
    </xf>
    <xf numFmtId="0" fontId="21" fillId="3" borderId="57" xfId="0" applyFont="1" applyFill="1" applyBorder="1" applyAlignment="1" applyProtection="1">
      <alignment horizontal="center" vertical="center"/>
      <protection locked="0"/>
    </xf>
    <xf numFmtId="0" fontId="21" fillId="3" borderId="58" xfId="0" applyFont="1" applyFill="1" applyBorder="1" applyAlignment="1" applyProtection="1">
      <alignment horizontal="center" vertical="center"/>
      <protection locked="0"/>
    </xf>
    <xf numFmtId="0" fontId="2" fillId="3" borderId="52" xfId="0" applyFont="1" applyFill="1" applyBorder="1" applyAlignment="1" applyProtection="1">
      <alignment horizontal="left" vertical="center" indent="1"/>
      <protection locked="0"/>
    </xf>
    <xf numFmtId="0" fontId="2" fillId="3" borderId="4" xfId="0" applyFont="1" applyFill="1" applyBorder="1" applyAlignment="1" applyProtection="1">
      <alignment horizontal="left" vertical="center" indent="1"/>
      <protection locked="0"/>
    </xf>
    <xf numFmtId="0" fontId="2" fillId="3" borderId="1" xfId="0" applyFont="1" applyFill="1" applyBorder="1" applyAlignment="1" applyProtection="1">
      <alignment horizontal="left" vertical="center" indent="1"/>
      <protection locked="0"/>
    </xf>
    <xf numFmtId="0" fontId="2" fillId="4" borderId="15" xfId="0" applyFont="1" applyFill="1" applyBorder="1" applyAlignment="1" applyProtection="1">
      <alignment horizontal="center" vertical="center"/>
      <protection hidden="1"/>
    </xf>
    <xf numFmtId="0" fontId="37" fillId="4" borderId="13" xfId="0" applyFont="1" applyFill="1" applyBorder="1" applyAlignment="1" applyProtection="1">
      <alignment horizontal="center" vertical="center"/>
      <protection hidden="1"/>
    </xf>
    <xf numFmtId="0" fontId="37" fillId="4" borderId="0" xfId="0" applyFont="1" applyFill="1" applyBorder="1" applyAlignment="1" applyProtection="1">
      <alignment horizontal="center" vertical="center"/>
      <protection hidden="1"/>
    </xf>
    <xf numFmtId="0" fontId="37" fillId="4" borderId="61" xfId="0" applyFont="1" applyFill="1" applyBorder="1" applyAlignment="1" applyProtection="1">
      <alignment horizontal="center" vertical="center"/>
      <protection hidden="1"/>
    </xf>
    <xf numFmtId="0" fontId="21" fillId="6" borderId="50" xfId="0" applyFont="1" applyFill="1" applyBorder="1" applyAlignment="1" applyProtection="1">
      <alignment horizontal="center" vertical="center"/>
      <protection locked="0"/>
    </xf>
    <xf numFmtId="0" fontId="21" fillId="4" borderId="69" xfId="0" applyFont="1" applyFill="1" applyBorder="1" applyAlignment="1" applyProtection="1">
      <alignment horizontal="left" vertical="center" indent="1"/>
      <protection hidden="1"/>
    </xf>
    <xf numFmtId="0" fontId="21" fillId="4" borderId="50" xfId="0" applyFont="1" applyFill="1" applyBorder="1" applyAlignment="1" applyProtection="1">
      <alignment horizontal="left" vertical="center" indent="1"/>
      <protection hidden="1"/>
    </xf>
    <xf numFmtId="0" fontId="2" fillId="3" borderId="95"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96" xfId="0" applyFont="1" applyFill="1" applyBorder="1" applyAlignment="1" applyProtection="1">
      <alignment horizontal="center" vertical="center"/>
      <protection locked="0"/>
    </xf>
    <xf numFmtId="0" fontId="2" fillId="3" borderId="97" xfId="0" applyFont="1" applyFill="1" applyBorder="1" applyAlignment="1" applyProtection="1">
      <alignment horizontal="center" vertical="center"/>
      <protection locked="0"/>
    </xf>
    <xf numFmtId="0" fontId="2" fillId="3" borderId="24" xfId="0" applyFont="1" applyFill="1" applyBorder="1" applyAlignment="1" applyProtection="1">
      <alignment horizontal="center" vertical="center"/>
      <protection locked="0"/>
    </xf>
    <xf numFmtId="0" fontId="2" fillId="3" borderId="67" xfId="0" applyFont="1" applyFill="1" applyBorder="1" applyAlignment="1" applyProtection="1">
      <alignment horizontal="center" vertical="center"/>
      <protection locked="0"/>
    </xf>
    <xf numFmtId="0" fontId="21" fillId="4" borderId="21" xfId="0" applyFont="1" applyFill="1" applyBorder="1" applyAlignment="1" applyProtection="1">
      <alignment horizontal="center" vertical="center"/>
      <protection hidden="1"/>
    </xf>
    <xf numFmtId="0" fontId="2" fillId="3" borderId="57" xfId="0" applyFont="1" applyFill="1" applyBorder="1" applyAlignment="1" applyProtection="1">
      <alignment horizontal="center" vertical="center"/>
      <protection locked="0"/>
    </xf>
    <xf numFmtId="0" fontId="2" fillId="3" borderId="21" xfId="0" applyFont="1" applyFill="1" applyBorder="1" applyAlignment="1" applyProtection="1">
      <alignment horizontal="center" vertical="center"/>
      <protection locked="0"/>
    </xf>
    <xf numFmtId="0" fontId="21" fillId="4" borderId="63" xfId="0" applyFont="1" applyFill="1" applyBorder="1" applyAlignment="1" applyProtection="1">
      <alignment horizontal="left" vertical="center" indent="1"/>
      <protection hidden="1"/>
    </xf>
    <xf numFmtId="0" fontId="21" fillId="4" borderId="49" xfId="0" applyFont="1" applyFill="1" applyBorder="1" applyAlignment="1" applyProtection="1">
      <alignment horizontal="left" vertical="center" indent="1"/>
      <protection hidden="1"/>
    </xf>
    <xf numFmtId="0" fontId="2" fillId="3" borderId="4" xfId="0" applyFont="1" applyFill="1" applyBorder="1" applyAlignment="1" applyProtection="1">
      <alignment horizontal="center" vertical="center"/>
      <protection locked="0"/>
    </xf>
    <xf numFmtId="0" fontId="2" fillId="3" borderId="53" xfId="0" applyFont="1" applyFill="1" applyBorder="1" applyAlignment="1" applyProtection="1">
      <alignment horizontal="center" vertical="center"/>
      <protection locked="0"/>
    </xf>
    <xf numFmtId="0" fontId="2" fillId="3" borderId="52" xfId="0" applyFont="1" applyFill="1" applyBorder="1" applyAlignment="1" applyProtection="1">
      <alignment horizontal="center" vertical="center"/>
      <protection locked="0"/>
    </xf>
    <xf numFmtId="0" fontId="24" fillId="12" borderId="13" xfId="0" applyFont="1" applyFill="1" applyBorder="1" applyAlignment="1" applyProtection="1">
      <alignment horizontal="center" vertical="top" wrapText="1"/>
      <protection hidden="1"/>
    </xf>
    <xf numFmtId="0" fontId="24" fillId="12" borderId="61" xfId="0" applyFont="1" applyFill="1" applyBorder="1" applyAlignment="1" applyProtection="1">
      <alignment horizontal="center" vertical="top" wrapText="1"/>
      <protection hidden="1"/>
    </xf>
    <xf numFmtId="0" fontId="24" fillId="12" borderId="55" xfId="0" applyFont="1" applyFill="1" applyBorder="1" applyAlignment="1" applyProtection="1">
      <alignment horizontal="center" vertical="top" wrapText="1"/>
      <protection hidden="1"/>
    </xf>
    <xf numFmtId="0" fontId="24" fillId="12" borderId="56" xfId="0" applyFont="1" applyFill="1" applyBorder="1" applyAlignment="1" applyProtection="1">
      <alignment horizontal="center" vertical="top" wrapText="1"/>
      <protection hidden="1"/>
    </xf>
    <xf numFmtId="0" fontId="24" fillId="12" borderId="0" xfId="0" applyFont="1" applyFill="1" applyBorder="1" applyAlignment="1" applyProtection="1">
      <alignment horizontal="center" vertical="top" wrapText="1"/>
      <protection hidden="1"/>
    </xf>
    <xf numFmtId="0" fontId="25" fillId="12" borderId="13" xfId="0" applyFont="1" applyFill="1" applyBorder="1" applyAlignment="1" applyProtection="1">
      <alignment horizontal="center" vertical="top" wrapText="1"/>
      <protection hidden="1"/>
    </xf>
    <xf numFmtId="0" fontId="25" fillId="12" borderId="61" xfId="0" applyFont="1" applyFill="1" applyBorder="1" applyAlignment="1" applyProtection="1">
      <alignment horizontal="center" vertical="top" wrapText="1"/>
      <protection hidden="1"/>
    </xf>
    <xf numFmtId="0" fontId="25" fillId="3" borderId="57" xfId="0" applyFont="1" applyFill="1" applyBorder="1" applyAlignment="1" applyProtection="1">
      <alignment horizontal="center" vertical="center"/>
      <protection hidden="1"/>
    </xf>
    <xf numFmtId="0" fontId="25" fillId="3" borderId="21" xfId="0" applyFont="1" applyFill="1" applyBorder="1" applyAlignment="1" applyProtection="1">
      <alignment horizontal="center" vertical="center"/>
      <protection hidden="1"/>
    </xf>
    <xf numFmtId="0" fontId="25" fillId="3" borderId="58" xfId="0" applyFont="1" applyFill="1" applyBorder="1" applyAlignment="1" applyProtection="1">
      <alignment horizontal="center" vertical="center"/>
      <protection hidden="1"/>
    </xf>
    <xf numFmtId="0" fontId="25" fillId="3" borderId="41" xfId="0" applyFont="1" applyFill="1" applyBorder="1" applyAlignment="1" applyProtection="1">
      <alignment horizontal="center" vertical="center"/>
      <protection hidden="1"/>
    </xf>
    <xf numFmtId="0" fontId="21" fillId="4" borderId="41" xfId="0" applyFont="1" applyFill="1" applyBorder="1" applyAlignment="1" applyProtection="1">
      <alignment horizontal="center" vertical="center"/>
      <protection hidden="1"/>
    </xf>
    <xf numFmtId="0" fontId="21" fillId="4" borderId="18" xfId="0" applyFont="1" applyFill="1" applyBorder="1" applyAlignment="1" applyProtection="1">
      <alignment horizontal="center" vertical="center"/>
      <protection hidden="1"/>
    </xf>
    <xf numFmtId="0" fontId="21" fillId="4" borderId="43" xfId="0" applyFont="1" applyFill="1" applyBorder="1" applyAlignment="1" applyProtection="1">
      <alignment horizontal="center" vertical="center"/>
      <protection hidden="1"/>
    </xf>
    <xf numFmtId="0" fontId="21" fillId="3" borderId="18" xfId="0" applyFont="1" applyFill="1" applyBorder="1" applyAlignment="1" applyProtection="1">
      <alignment horizontal="center" vertical="center"/>
      <protection locked="0"/>
    </xf>
    <xf numFmtId="0" fontId="21" fillId="3" borderId="43" xfId="0" applyFont="1" applyFill="1" applyBorder="1" applyAlignment="1" applyProtection="1">
      <alignment horizontal="center" vertical="center"/>
      <protection locked="0"/>
    </xf>
    <xf numFmtId="0" fontId="34" fillId="7" borderId="41" xfId="2" applyFont="1" applyFill="1" applyBorder="1" applyAlignment="1" applyProtection="1">
      <alignment horizontal="center" vertical="center"/>
      <protection hidden="1"/>
    </xf>
    <xf numFmtId="0" fontId="34" fillId="7" borderId="18" xfId="0" applyFont="1" applyFill="1" applyBorder="1" applyAlignment="1" applyProtection="1">
      <alignment horizontal="center" vertical="center"/>
      <protection hidden="1"/>
    </xf>
    <xf numFmtId="0" fontId="34" fillId="7" borderId="43" xfId="0" applyFont="1" applyFill="1" applyBorder="1" applyAlignment="1" applyProtection="1">
      <alignment horizontal="center" vertical="center"/>
      <protection hidden="1"/>
    </xf>
    <xf numFmtId="0" fontId="38" fillId="15" borderId="18" xfId="0" applyFont="1" applyFill="1" applyBorder="1" applyAlignment="1" applyProtection="1">
      <alignment horizontal="center" vertical="center"/>
      <protection hidden="1"/>
    </xf>
    <xf numFmtId="0" fontId="38" fillId="15" borderId="43" xfId="0" applyFont="1" applyFill="1" applyBorder="1" applyAlignment="1" applyProtection="1">
      <alignment horizontal="center" vertical="center"/>
      <protection hidden="1"/>
    </xf>
    <xf numFmtId="0" fontId="37" fillId="4" borderId="41" xfId="0" applyFont="1" applyFill="1" applyBorder="1" applyAlignment="1" applyProtection="1">
      <alignment horizontal="center" vertical="center"/>
      <protection hidden="1"/>
    </xf>
    <xf numFmtId="0" fontId="37" fillId="4" borderId="18" xfId="0" applyFont="1" applyFill="1" applyBorder="1" applyAlignment="1" applyProtection="1">
      <alignment horizontal="center" vertical="center"/>
      <protection hidden="1"/>
    </xf>
    <xf numFmtId="0" fontId="37" fillId="4" borderId="43" xfId="0" applyFont="1" applyFill="1" applyBorder="1" applyAlignment="1" applyProtection="1">
      <alignment horizontal="center" vertical="center"/>
      <protection hidden="1"/>
    </xf>
    <xf numFmtId="0" fontId="2" fillId="16" borderId="41" xfId="0" applyFont="1" applyFill="1" applyBorder="1" applyAlignment="1" applyProtection="1">
      <alignment horizontal="center" vertical="center"/>
      <protection locked="0"/>
    </xf>
    <xf numFmtId="0" fontId="2" fillId="16" borderId="43" xfId="0" applyFont="1" applyFill="1" applyBorder="1" applyAlignment="1" applyProtection="1">
      <alignment horizontal="center" vertical="center"/>
      <protection locked="0"/>
    </xf>
    <xf numFmtId="0" fontId="37" fillId="16" borderId="41" xfId="0" applyFont="1" applyFill="1" applyBorder="1" applyAlignment="1" applyProtection="1">
      <alignment horizontal="center" vertical="center"/>
      <protection hidden="1"/>
    </xf>
    <xf numFmtId="0" fontId="37" fillId="16" borderId="18" xfId="0" applyFont="1" applyFill="1" applyBorder="1" applyAlignment="1" applyProtection="1">
      <alignment horizontal="center" vertical="center"/>
      <protection hidden="1"/>
    </xf>
    <xf numFmtId="0" fontId="37" fillId="16" borderId="43" xfId="0" applyFont="1" applyFill="1" applyBorder="1" applyAlignment="1" applyProtection="1">
      <alignment horizontal="center" vertical="center"/>
      <protection hidden="1"/>
    </xf>
    <xf numFmtId="0" fontId="2" fillId="16" borderId="18" xfId="0" applyFont="1" applyFill="1" applyBorder="1" applyAlignment="1" applyProtection="1">
      <alignment horizontal="center" vertical="center"/>
      <protection locked="0"/>
    </xf>
    <xf numFmtId="0" fontId="21" fillId="6" borderId="41" xfId="0" applyFont="1" applyFill="1" applyBorder="1" applyAlignment="1" applyProtection="1">
      <alignment horizontal="center" vertical="center"/>
      <protection locked="0"/>
    </xf>
    <xf numFmtId="0" fontId="21" fillId="6" borderId="43" xfId="0" applyFont="1" applyFill="1" applyBorder="1" applyAlignment="1" applyProtection="1">
      <alignment horizontal="center" vertical="center"/>
      <protection locked="0"/>
    </xf>
    <xf numFmtId="0" fontId="2" fillId="16" borderId="41" xfId="0" applyFont="1" applyFill="1" applyBorder="1" applyAlignment="1" applyProtection="1">
      <alignment horizontal="center" vertical="center"/>
      <protection hidden="1"/>
    </xf>
    <xf numFmtId="0" fontId="2" fillId="16" borderId="43" xfId="0" applyFont="1" applyFill="1" applyBorder="1" applyAlignment="1" applyProtection="1">
      <alignment horizontal="center" vertical="center"/>
      <protection hidden="1"/>
    </xf>
    <xf numFmtId="0" fontId="21" fillId="6" borderId="4" xfId="0" applyFont="1" applyFill="1" applyBorder="1" applyAlignment="1" applyProtection="1">
      <alignment horizontal="center" vertical="center"/>
      <protection locked="0"/>
    </xf>
    <xf numFmtId="0" fontId="21" fillId="4" borderId="30" xfId="0" applyFont="1" applyFill="1" applyBorder="1" applyAlignment="1" applyProtection="1">
      <alignment horizontal="left" vertical="center" indent="1"/>
      <protection hidden="1"/>
    </xf>
    <xf numFmtId="0" fontId="21" fillId="4" borderId="31" xfId="0" applyFont="1" applyFill="1" applyBorder="1" applyAlignment="1" applyProtection="1">
      <alignment horizontal="left" vertical="center" indent="1"/>
      <protection hidden="1"/>
    </xf>
    <xf numFmtId="0" fontId="21" fillId="4" borderId="25" xfId="0" applyFont="1" applyFill="1" applyBorder="1" applyAlignment="1" applyProtection="1">
      <alignment horizontal="left" vertical="center" indent="1"/>
      <protection hidden="1"/>
    </xf>
    <xf numFmtId="0" fontId="21" fillId="4" borderId="26" xfId="0" applyFont="1" applyFill="1" applyBorder="1" applyAlignment="1" applyProtection="1">
      <alignment horizontal="left" vertical="center" indent="1"/>
      <protection hidden="1"/>
    </xf>
    <xf numFmtId="0" fontId="21" fillId="3" borderId="23" xfId="0" applyFont="1" applyFill="1" applyBorder="1" applyAlignment="1" applyProtection="1">
      <alignment horizontal="center" vertical="center"/>
      <protection locked="0"/>
    </xf>
    <xf numFmtId="0" fontId="21" fillId="3" borderId="24" xfId="0" applyFont="1" applyFill="1" applyBorder="1" applyAlignment="1" applyProtection="1">
      <alignment horizontal="center" vertical="center"/>
      <protection locked="0"/>
    </xf>
    <xf numFmtId="0" fontId="21" fillId="3" borderId="66" xfId="0" applyFont="1" applyFill="1" applyBorder="1" applyAlignment="1" applyProtection="1">
      <alignment horizontal="center" vertical="center"/>
      <protection locked="0"/>
    </xf>
    <xf numFmtId="0" fontId="21" fillId="4" borderId="23" xfId="0" applyFont="1" applyFill="1" applyBorder="1" applyAlignment="1" applyProtection="1">
      <alignment horizontal="center" vertical="center"/>
      <protection hidden="1"/>
    </xf>
    <xf numFmtId="0" fontId="21" fillId="4" borderId="24" xfId="0" applyFont="1" applyFill="1" applyBorder="1" applyAlignment="1" applyProtection="1">
      <alignment horizontal="center" vertical="center"/>
      <protection hidden="1"/>
    </xf>
    <xf numFmtId="0" fontId="21" fillId="4" borderId="66" xfId="0" applyFont="1" applyFill="1" applyBorder="1" applyAlignment="1" applyProtection="1">
      <alignment horizontal="center" vertical="center"/>
      <protection hidden="1"/>
    </xf>
    <xf numFmtId="0" fontId="21" fillId="3" borderId="67" xfId="0" applyFont="1" applyFill="1" applyBorder="1" applyAlignment="1" applyProtection="1">
      <alignment horizontal="center" vertical="center"/>
      <protection locked="0"/>
    </xf>
    <xf numFmtId="0" fontId="25" fillId="7" borderId="41" xfId="0" applyFont="1" applyFill="1" applyBorder="1" applyAlignment="1" applyProtection="1">
      <alignment horizontal="center" vertical="center"/>
      <protection hidden="1"/>
    </xf>
    <xf numFmtId="0" fontId="25" fillId="7" borderId="18" xfId="0" applyFont="1" applyFill="1" applyBorder="1" applyAlignment="1" applyProtection="1">
      <alignment horizontal="center" vertical="center"/>
      <protection hidden="1"/>
    </xf>
    <xf numFmtId="0" fontId="25" fillId="7" borderId="43" xfId="0" applyFont="1" applyFill="1" applyBorder="1" applyAlignment="1" applyProtection="1">
      <alignment horizontal="center" vertical="center"/>
      <protection hidden="1"/>
    </xf>
    <xf numFmtId="0" fontId="2" fillId="6" borderId="17" xfId="0" applyFont="1" applyFill="1" applyBorder="1" applyAlignment="1" applyProtection="1">
      <alignment horizontal="center" vertical="center"/>
      <protection locked="0"/>
    </xf>
    <xf numFmtId="0" fontId="2" fillId="6" borderId="43" xfId="0" applyFont="1" applyFill="1" applyBorder="1" applyAlignment="1" applyProtection="1">
      <alignment horizontal="center" vertical="center"/>
      <protection locked="0"/>
    </xf>
    <xf numFmtId="0" fontId="2" fillId="8" borderId="25" xfId="0" applyFont="1" applyFill="1" applyBorder="1" applyAlignment="1" applyProtection="1">
      <alignment horizontal="center" vertical="center"/>
      <protection locked="0"/>
    </xf>
    <xf numFmtId="0" fontId="2" fillId="8" borderId="51" xfId="0" applyFont="1" applyFill="1" applyBorder="1" applyAlignment="1" applyProtection="1">
      <alignment horizontal="center" vertical="center"/>
      <protection locked="0"/>
    </xf>
    <xf numFmtId="0" fontId="2" fillId="8" borderId="42" xfId="0" applyFont="1" applyFill="1" applyBorder="1" applyAlignment="1" applyProtection="1">
      <alignment horizontal="center" vertical="center"/>
      <protection locked="0"/>
    </xf>
    <xf numFmtId="0" fontId="2" fillId="8" borderId="94" xfId="0" applyFont="1" applyFill="1" applyBorder="1" applyAlignment="1" applyProtection="1">
      <alignment horizontal="center" vertical="center"/>
      <protection locked="0"/>
    </xf>
    <xf numFmtId="0" fontId="53" fillId="4" borderId="55" xfId="0" applyFont="1" applyFill="1" applyBorder="1" applyAlignment="1" applyProtection="1">
      <alignment horizontal="center" vertical="center"/>
      <protection hidden="1"/>
    </xf>
    <xf numFmtId="0" fontId="53" fillId="4" borderId="15" xfId="0" applyFont="1" applyFill="1" applyBorder="1" applyAlignment="1" applyProtection="1">
      <alignment horizontal="center" vertical="center"/>
      <protection hidden="1"/>
    </xf>
    <xf numFmtId="0" fontId="2" fillId="10" borderId="55" xfId="0" applyFont="1" applyFill="1" applyBorder="1" applyAlignment="1" applyProtection="1">
      <alignment horizontal="center" vertical="center"/>
      <protection locked="0"/>
    </xf>
    <xf numFmtId="0" fontId="2" fillId="10" borderId="56" xfId="0" applyFont="1" applyFill="1" applyBorder="1" applyAlignment="1" applyProtection="1">
      <alignment horizontal="center" vertical="center"/>
      <protection locked="0"/>
    </xf>
    <xf numFmtId="0" fontId="29" fillId="4" borderId="41" xfId="0" applyFont="1" applyFill="1" applyBorder="1" applyAlignment="1" applyProtection="1">
      <alignment horizontal="center" vertical="center"/>
      <protection hidden="1"/>
    </xf>
    <xf numFmtId="0" fontId="29" fillId="4" borderId="18" xfId="0" applyFont="1" applyFill="1" applyBorder="1" applyAlignment="1" applyProtection="1">
      <alignment horizontal="center" vertical="center"/>
      <protection hidden="1"/>
    </xf>
    <xf numFmtId="0" fontId="29" fillId="4" borderId="43" xfId="0" applyFont="1" applyFill="1" applyBorder="1" applyAlignment="1" applyProtection="1">
      <alignment horizontal="center" vertical="center"/>
      <protection hidden="1"/>
    </xf>
    <xf numFmtId="0" fontId="37" fillId="19" borderId="57" xfId="2" applyFont="1" applyFill="1" applyBorder="1" applyAlignment="1" applyProtection="1">
      <alignment horizontal="center" vertical="center"/>
      <protection hidden="1"/>
    </xf>
    <xf numFmtId="0" fontId="37" fillId="19" borderId="21" xfId="2" applyFont="1" applyFill="1" applyBorder="1" applyAlignment="1" applyProtection="1">
      <alignment horizontal="center" vertical="center"/>
      <protection hidden="1"/>
    </xf>
    <xf numFmtId="0" fontId="37" fillId="19" borderId="58" xfId="2" applyFont="1" applyFill="1" applyBorder="1" applyAlignment="1" applyProtection="1">
      <alignment horizontal="center" vertical="center"/>
      <protection hidden="1"/>
    </xf>
    <xf numFmtId="0" fontId="37" fillId="19" borderId="13" xfId="2" applyFont="1" applyFill="1" applyBorder="1" applyAlignment="1" applyProtection="1">
      <alignment horizontal="center" vertical="center"/>
      <protection hidden="1"/>
    </xf>
    <xf numFmtId="0" fontId="37" fillId="19" borderId="0" xfId="2" applyFont="1" applyFill="1" applyBorder="1" applyAlignment="1" applyProtection="1">
      <alignment horizontal="center" vertical="center"/>
      <protection hidden="1"/>
    </xf>
    <xf numFmtId="0" fontId="37" fillId="19" borderId="61" xfId="2" applyFont="1" applyFill="1" applyBorder="1" applyAlignment="1" applyProtection="1">
      <alignment horizontal="center" vertical="center"/>
      <protection hidden="1"/>
    </xf>
    <xf numFmtId="0" fontId="2" fillId="3" borderId="30" xfId="0" applyFont="1" applyFill="1" applyBorder="1" applyAlignment="1" applyProtection="1">
      <alignment horizontal="center" vertical="center"/>
      <protection locked="0"/>
    </xf>
    <xf numFmtId="0" fontId="2" fillId="3" borderId="31" xfId="0" applyFont="1" applyFill="1" applyBorder="1" applyAlignment="1" applyProtection="1">
      <alignment horizontal="center" vertical="center"/>
      <protection locked="0"/>
    </xf>
    <xf numFmtId="0" fontId="2" fillId="3" borderId="54" xfId="0" applyFont="1" applyFill="1" applyBorder="1" applyAlignment="1" applyProtection="1">
      <alignment horizontal="center" vertical="center"/>
      <protection locked="0"/>
    </xf>
    <xf numFmtId="0" fontId="2" fillId="10" borderId="41" xfId="0" applyFont="1" applyFill="1" applyBorder="1" applyAlignment="1" applyProtection="1">
      <alignment horizontal="center" vertical="center"/>
      <protection locked="0"/>
    </xf>
    <xf numFmtId="0" fontId="2" fillId="10" borderId="43" xfId="0" applyFont="1" applyFill="1" applyBorder="1" applyAlignment="1" applyProtection="1">
      <alignment horizontal="center" vertical="center"/>
      <protection locked="0"/>
    </xf>
    <xf numFmtId="0" fontId="2" fillId="4" borderId="70" xfId="0" applyFont="1" applyFill="1" applyBorder="1" applyAlignment="1" applyProtection="1">
      <alignment horizontal="center" vertical="center"/>
      <protection hidden="1"/>
    </xf>
    <xf numFmtId="0" fontId="2" fillId="4" borderId="71" xfId="0" applyFont="1" applyFill="1" applyBorder="1" applyAlignment="1" applyProtection="1">
      <alignment horizontal="center" vertical="center"/>
      <protection hidden="1"/>
    </xf>
    <xf numFmtId="0" fontId="2" fillId="4" borderId="72" xfId="0" applyFont="1" applyFill="1" applyBorder="1" applyAlignment="1" applyProtection="1">
      <alignment horizontal="center" vertical="center"/>
      <protection hidden="1"/>
    </xf>
    <xf numFmtId="0" fontId="26" fillId="7" borderId="41" xfId="0" applyFont="1" applyFill="1" applyBorder="1" applyAlignment="1" applyProtection="1">
      <alignment horizontal="left" vertical="center"/>
      <protection hidden="1"/>
    </xf>
    <xf numFmtId="0" fontId="26" fillId="7" borderId="18" xfId="0" applyFont="1" applyFill="1" applyBorder="1" applyAlignment="1" applyProtection="1">
      <alignment horizontal="left" vertical="center"/>
      <protection hidden="1"/>
    </xf>
    <xf numFmtId="0" fontId="26" fillId="7" borderId="43" xfId="0" applyFont="1" applyFill="1" applyBorder="1" applyAlignment="1" applyProtection="1">
      <alignment horizontal="left" vertical="center"/>
      <protection hidden="1"/>
    </xf>
    <xf numFmtId="0" fontId="21" fillId="3" borderId="28" xfId="0" applyFont="1" applyFill="1" applyBorder="1" applyAlignment="1" applyProtection="1">
      <alignment horizontal="left" vertical="center" indent="1"/>
      <protection locked="0"/>
    </xf>
    <xf numFmtId="0" fontId="21" fillId="3" borderId="60" xfId="0" applyFont="1" applyFill="1" applyBorder="1" applyAlignment="1" applyProtection="1">
      <alignment horizontal="left" vertical="center" indent="1"/>
      <protection locked="0"/>
    </xf>
    <xf numFmtId="0" fontId="21" fillId="3" borderId="65" xfId="0" applyFont="1" applyFill="1" applyBorder="1" applyAlignment="1" applyProtection="1">
      <alignment horizontal="left" vertical="center" indent="1"/>
      <protection locked="0"/>
    </xf>
    <xf numFmtId="0" fontId="2" fillId="13" borderId="13" xfId="0" applyFont="1" applyFill="1" applyBorder="1" applyAlignment="1" applyProtection="1">
      <alignment horizontal="center" vertical="center"/>
      <protection hidden="1"/>
    </xf>
    <xf numFmtId="0" fontId="2" fillId="13" borderId="0" xfId="0" applyFont="1" applyFill="1" applyBorder="1" applyAlignment="1" applyProtection="1">
      <alignment horizontal="center" vertical="center"/>
      <protection hidden="1"/>
    </xf>
    <xf numFmtId="0" fontId="2" fillId="13" borderId="61" xfId="0" applyFont="1" applyFill="1" applyBorder="1" applyAlignment="1" applyProtection="1">
      <alignment horizontal="center" vertical="center"/>
      <protection hidden="1"/>
    </xf>
    <xf numFmtId="0" fontId="21" fillId="3" borderId="26" xfId="0" applyFont="1" applyFill="1" applyBorder="1" applyAlignment="1" applyProtection="1">
      <alignment horizontal="left" vertical="center" indent="1"/>
      <protection locked="0"/>
    </xf>
    <xf numFmtId="0" fontId="21" fillId="3" borderId="51" xfId="0" applyFont="1" applyFill="1" applyBorder="1" applyAlignment="1" applyProtection="1">
      <alignment horizontal="left" vertical="center" indent="1"/>
      <protection locked="0"/>
    </xf>
    <xf numFmtId="0" fontId="21" fillId="3" borderId="49" xfId="0" applyFont="1" applyFill="1" applyBorder="1" applyAlignment="1" applyProtection="1">
      <alignment horizontal="left" vertical="center" indent="1"/>
      <protection locked="0"/>
    </xf>
    <xf numFmtId="0" fontId="21" fillId="3" borderId="64" xfId="0" applyFont="1" applyFill="1" applyBorder="1" applyAlignment="1" applyProtection="1">
      <alignment horizontal="left" vertical="center" indent="1"/>
      <protection locked="0"/>
    </xf>
    <xf numFmtId="0" fontId="2" fillId="4" borderId="68" xfId="0" applyFont="1" applyFill="1" applyBorder="1" applyAlignment="1" applyProtection="1">
      <alignment horizontal="left" vertical="center" indent="1"/>
      <protection hidden="1"/>
    </xf>
    <xf numFmtId="0" fontId="2" fillId="4" borderId="32" xfId="0" applyFont="1" applyFill="1" applyBorder="1" applyAlignment="1" applyProtection="1">
      <alignment horizontal="left" vertical="center" indent="1"/>
      <protection hidden="1"/>
    </xf>
    <xf numFmtId="0" fontId="2" fillId="4" borderId="14" xfId="0" applyFont="1" applyFill="1" applyBorder="1" applyAlignment="1" applyProtection="1">
      <alignment horizontal="left" vertical="center" indent="1"/>
      <protection hidden="1"/>
    </xf>
    <xf numFmtId="0" fontId="2" fillId="3" borderId="14" xfId="0" applyFont="1" applyFill="1" applyBorder="1" applyAlignment="1" applyProtection="1">
      <alignment horizontal="center" vertical="center"/>
      <protection locked="0"/>
    </xf>
    <xf numFmtId="0" fontId="2" fillId="3" borderId="56" xfId="0" applyFont="1" applyFill="1" applyBorder="1" applyAlignment="1" applyProtection="1">
      <alignment horizontal="center" vertical="center"/>
      <protection locked="0"/>
    </xf>
    <xf numFmtId="0" fontId="2" fillId="4" borderId="41" xfId="0" applyFont="1" applyFill="1" applyBorder="1" applyAlignment="1" applyProtection="1">
      <alignment horizontal="left" vertical="center" indent="1"/>
      <protection hidden="1"/>
    </xf>
    <xf numFmtId="0" fontId="2" fillId="4" borderId="18" xfId="0" applyFont="1" applyFill="1" applyBorder="1" applyAlignment="1" applyProtection="1">
      <alignment horizontal="left" vertical="center" indent="1"/>
      <protection hidden="1"/>
    </xf>
    <xf numFmtId="0" fontId="2" fillId="6" borderId="28" xfId="0" applyFont="1" applyFill="1" applyBorder="1" applyAlignment="1" applyProtection="1">
      <alignment horizontal="center" vertical="center"/>
      <protection locked="0"/>
    </xf>
    <xf numFmtId="0" fontId="2" fillId="6" borderId="65" xfId="0" applyFont="1" applyFill="1" applyBorder="1" applyAlignment="1" applyProtection="1">
      <alignment horizontal="center" vertical="center"/>
      <protection locked="0"/>
    </xf>
    <xf numFmtId="0" fontId="36" fillId="10" borderId="57" xfId="0" applyFont="1" applyFill="1" applyBorder="1" applyAlignment="1" applyProtection="1">
      <alignment horizontal="center" vertical="center" wrapText="1"/>
      <protection hidden="1"/>
    </xf>
    <xf numFmtId="0" fontId="36" fillId="10" borderId="21" xfId="0" applyFont="1" applyFill="1" applyBorder="1" applyAlignment="1" applyProtection="1">
      <alignment horizontal="center" vertical="center" wrapText="1"/>
      <protection hidden="1"/>
    </xf>
    <xf numFmtId="0" fontId="36" fillId="10" borderId="58" xfId="0" applyFont="1" applyFill="1" applyBorder="1" applyAlignment="1" applyProtection="1">
      <alignment horizontal="center" vertical="center" wrapText="1"/>
      <protection hidden="1"/>
    </xf>
    <xf numFmtId="0" fontId="36" fillId="10" borderId="13" xfId="0" applyFont="1" applyFill="1" applyBorder="1" applyAlignment="1" applyProtection="1">
      <alignment horizontal="center" vertical="center" wrapText="1"/>
      <protection hidden="1"/>
    </xf>
    <xf numFmtId="0" fontId="36" fillId="10" borderId="0" xfId="0" applyFont="1" applyFill="1" applyBorder="1" applyAlignment="1" applyProtection="1">
      <alignment horizontal="center" vertical="center" wrapText="1"/>
      <protection hidden="1"/>
    </xf>
    <xf numFmtId="0" fontId="36" fillId="10" borderId="61" xfId="0" applyFont="1" applyFill="1" applyBorder="1" applyAlignment="1" applyProtection="1">
      <alignment horizontal="center" vertical="center" wrapText="1"/>
      <protection hidden="1"/>
    </xf>
    <xf numFmtId="0" fontId="36" fillId="10" borderId="55" xfId="0" applyFont="1" applyFill="1" applyBorder="1" applyAlignment="1" applyProtection="1">
      <alignment horizontal="center" vertical="center" wrapText="1"/>
      <protection hidden="1"/>
    </xf>
    <xf numFmtId="0" fontId="36" fillId="10" borderId="15" xfId="0" applyFont="1" applyFill="1" applyBorder="1" applyAlignment="1" applyProtection="1">
      <alignment horizontal="center" vertical="center" wrapText="1"/>
      <protection hidden="1"/>
    </xf>
    <xf numFmtId="0" fontId="36" fillId="10" borderId="56" xfId="0" applyFont="1" applyFill="1" applyBorder="1" applyAlignment="1" applyProtection="1">
      <alignment horizontal="center" vertical="center" wrapText="1"/>
      <protection hidden="1"/>
    </xf>
    <xf numFmtId="0" fontId="21" fillId="4" borderId="41" xfId="0" applyFont="1" applyFill="1" applyBorder="1" applyAlignment="1" applyProtection="1">
      <alignment horizontal="right" vertical="center"/>
      <protection hidden="1"/>
    </xf>
    <xf numFmtId="0" fontId="21" fillId="4" borderId="18" xfId="0" applyFont="1" applyFill="1" applyBorder="1" applyAlignment="1" applyProtection="1">
      <alignment horizontal="right" vertical="center"/>
      <protection hidden="1"/>
    </xf>
    <xf numFmtId="0" fontId="21" fillId="4" borderId="43" xfId="0" applyFont="1" applyFill="1" applyBorder="1" applyAlignment="1" applyProtection="1">
      <alignment horizontal="right" vertical="center"/>
      <protection hidden="1"/>
    </xf>
    <xf numFmtId="0" fontId="48" fillId="4" borderId="13" xfId="0" applyFont="1" applyFill="1" applyBorder="1" applyAlignment="1" applyProtection="1">
      <alignment horizontal="center" vertical="center"/>
      <protection hidden="1"/>
    </xf>
    <xf numFmtId="0" fontId="48" fillId="4" borderId="0" xfId="0" applyFont="1" applyFill="1" applyBorder="1" applyAlignment="1" applyProtection="1">
      <alignment horizontal="center" vertical="center"/>
      <protection hidden="1"/>
    </xf>
    <xf numFmtId="0" fontId="48" fillId="4" borderId="61" xfId="0" applyFont="1" applyFill="1" applyBorder="1" applyAlignment="1" applyProtection="1">
      <alignment horizontal="center" vertical="center"/>
      <protection hidden="1"/>
    </xf>
    <xf numFmtId="0" fontId="31" fillId="4" borderId="57" xfId="0" applyFont="1" applyFill="1" applyBorder="1" applyAlignment="1" applyProtection="1">
      <alignment horizontal="center" vertical="center"/>
      <protection hidden="1"/>
    </xf>
    <xf numFmtId="0" fontId="31" fillId="4" borderId="21" xfId="0" applyFont="1" applyFill="1" applyBorder="1" applyAlignment="1" applyProtection="1">
      <alignment horizontal="center" vertical="center"/>
      <protection hidden="1"/>
    </xf>
    <xf numFmtId="0" fontId="31" fillId="4" borderId="58" xfId="0" applyFont="1" applyFill="1" applyBorder="1" applyAlignment="1" applyProtection="1">
      <alignment horizontal="center" vertical="center"/>
      <protection hidden="1"/>
    </xf>
    <xf numFmtId="0" fontId="30" fillId="4" borderId="15" xfId="0" applyFont="1" applyFill="1" applyBorder="1" applyAlignment="1" applyProtection="1">
      <alignment horizontal="left" vertical="top"/>
      <protection hidden="1"/>
    </xf>
    <xf numFmtId="0" fontId="30" fillId="4" borderId="56" xfId="0" applyFont="1" applyFill="1" applyBorder="1" applyAlignment="1" applyProtection="1">
      <alignment horizontal="left" vertical="top"/>
      <protection hidden="1"/>
    </xf>
    <xf numFmtId="0" fontId="27" fillId="7" borderId="41" xfId="0" applyFont="1" applyFill="1" applyBorder="1" applyAlignment="1" applyProtection="1">
      <alignment horizontal="center" vertical="center"/>
      <protection hidden="1"/>
    </xf>
    <xf numFmtId="0" fontId="27" fillId="7" borderId="18" xfId="0" applyFont="1" applyFill="1" applyBorder="1" applyAlignment="1" applyProtection="1">
      <alignment horizontal="center" vertical="center"/>
      <protection hidden="1"/>
    </xf>
    <xf numFmtId="0" fontId="27" fillId="7" borderId="43" xfId="0" applyFont="1" applyFill="1" applyBorder="1" applyAlignment="1" applyProtection="1">
      <alignment horizontal="center" vertical="center"/>
      <protection hidden="1"/>
    </xf>
    <xf numFmtId="0" fontId="24" fillId="12" borderId="13" xfId="0" applyFont="1" applyFill="1" applyBorder="1" applyAlignment="1" applyProtection="1">
      <alignment horizontal="center" vertical="top"/>
      <protection hidden="1"/>
    </xf>
    <xf numFmtId="0" fontId="24" fillId="12" borderId="0" xfId="0" applyFont="1" applyFill="1" applyBorder="1" applyAlignment="1" applyProtection="1">
      <alignment horizontal="center" vertical="top"/>
      <protection hidden="1"/>
    </xf>
    <xf numFmtId="0" fontId="24" fillId="12" borderId="61" xfId="0" applyFont="1" applyFill="1" applyBorder="1" applyAlignment="1" applyProtection="1">
      <alignment horizontal="center" vertical="top"/>
      <protection hidden="1"/>
    </xf>
    <xf numFmtId="0" fontId="24" fillId="12" borderId="55" xfId="0" applyFont="1" applyFill="1" applyBorder="1" applyAlignment="1" applyProtection="1">
      <alignment horizontal="center" vertical="top"/>
      <protection hidden="1"/>
    </xf>
    <xf numFmtId="0" fontId="24" fillId="12" borderId="15" xfId="0" applyFont="1" applyFill="1" applyBorder="1" applyAlignment="1" applyProtection="1">
      <alignment horizontal="center" vertical="top"/>
      <protection hidden="1"/>
    </xf>
    <xf numFmtId="0" fontId="24" fillId="12" borderId="56" xfId="0" applyFont="1" applyFill="1" applyBorder="1" applyAlignment="1" applyProtection="1">
      <alignment horizontal="center" vertical="top"/>
      <protection hidden="1"/>
    </xf>
    <xf numFmtId="0" fontId="20" fillId="3" borderId="41" xfId="0" applyFont="1" applyFill="1" applyBorder="1" applyAlignment="1" applyProtection="1">
      <alignment horizontal="center" vertical="center"/>
      <protection locked="0"/>
    </xf>
    <xf numFmtId="0" fontId="20" fillId="3" borderId="18" xfId="0" applyFont="1" applyFill="1" applyBorder="1" applyAlignment="1" applyProtection="1">
      <alignment horizontal="center" vertical="center"/>
      <protection locked="0"/>
    </xf>
    <xf numFmtId="0" fontId="20" fillId="3" borderId="43" xfId="0" applyFont="1" applyFill="1" applyBorder="1" applyAlignment="1" applyProtection="1">
      <alignment horizontal="center" vertical="center"/>
      <protection locked="0"/>
    </xf>
    <xf numFmtId="0" fontId="2" fillId="4" borderId="17" xfId="0" applyFont="1" applyFill="1" applyBorder="1" applyAlignment="1" applyProtection="1">
      <alignment horizontal="center" vertical="center"/>
      <protection hidden="1"/>
    </xf>
    <xf numFmtId="0" fontId="2" fillId="3" borderId="17" xfId="0" applyFont="1" applyFill="1" applyBorder="1" applyAlignment="1" applyProtection="1">
      <alignment horizontal="center" vertical="center"/>
      <protection locked="0"/>
    </xf>
    <xf numFmtId="0" fontId="2" fillId="4" borderId="41" xfId="0" applyFont="1" applyFill="1" applyBorder="1" applyAlignment="1" applyProtection="1">
      <alignment horizontal="left" vertical="center"/>
      <protection hidden="1"/>
    </xf>
    <xf numFmtId="0" fontId="2" fillId="4" borderId="18" xfId="0" applyFont="1" applyFill="1" applyBorder="1" applyAlignment="1" applyProtection="1">
      <alignment horizontal="left" vertical="center"/>
      <protection hidden="1"/>
    </xf>
    <xf numFmtId="0" fontId="2" fillId="4" borderId="43" xfId="0" applyFont="1" applyFill="1" applyBorder="1" applyAlignment="1" applyProtection="1">
      <alignment horizontal="left" vertical="center"/>
      <protection hidden="1"/>
    </xf>
    <xf numFmtId="0" fontId="39" fillId="7" borderId="41" xfId="2" applyFont="1" applyFill="1" applyBorder="1" applyAlignment="1" applyProtection="1">
      <alignment horizontal="center" vertical="center"/>
      <protection hidden="1"/>
    </xf>
    <xf numFmtId="0" fontId="39" fillId="7" borderId="18" xfId="2" applyFont="1" applyFill="1" applyBorder="1" applyAlignment="1" applyProtection="1">
      <alignment horizontal="center" vertical="center"/>
      <protection hidden="1"/>
    </xf>
    <xf numFmtId="0" fontId="39" fillId="7" borderId="43" xfId="2" applyFont="1" applyFill="1" applyBorder="1" applyAlignment="1" applyProtection="1">
      <alignment horizontal="center" vertical="center"/>
      <protection hidden="1"/>
    </xf>
    <xf numFmtId="0" fontId="25" fillId="12" borderId="47" xfId="0" applyFont="1" applyFill="1" applyBorder="1" applyAlignment="1" applyProtection="1">
      <alignment horizontal="center" vertical="top"/>
      <protection hidden="1"/>
    </xf>
    <xf numFmtId="0" fontId="25" fillId="12" borderId="48" xfId="0" applyFont="1" applyFill="1" applyBorder="1" applyAlignment="1" applyProtection="1">
      <alignment horizontal="center" vertical="top"/>
      <protection hidden="1"/>
    </xf>
    <xf numFmtId="0" fontId="53" fillId="3" borderId="41" xfId="0" applyFont="1" applyFill="1" applyBorder="1" applyAlignment="1" applyProtection="1">
      <alignment horizontal="center" vertical="center" wrapText="1"/>
      <protection hidden="1"/>
    </xf>
    <xf numFmtId="0" fontId="53" fillId="3" borderId="18" xfId="0" applyFont="1" applyFill="1" applyBorder="1" applyAlignment="1" applyProtection="1">
      <alignment horizontal="center" vertical="center" wrapText="1"/>
      <protection hidden="1"/>
    </xf>
    <xf numFmtId="0" fontId="53" fillId="3" borderId="43" xfId="0" applyFont="1" applyFill="1" applyBorder="1" applyAlignment="1" applyProtection="1">
      <alignment horizontal="center" vertical="center" wrapText="1"/>
      <protection hidden="1"/>
    </xf>
    <xf numFmtId="0" fontId="2" fillId="3" borderId="30" xfId="0" applyFont="1" applyFill="1" applyBorder="1" applyAlignment="1" applyProtection="1">
      <alignment horizontal="left" vertical="center" indent="1"/>
      <protection locked="0"/>
    </xf>
    <xf numFmtId="0" fontId="2" fillId="3" borderId="31" xfId="0" applyFont="1" applyFill="1" applyBorder="1" applyAlignment="1" applyProtection="1">
      <alignment horizontal="left" vertical="center" indent="1"/>
      <protection locked="0"/>
    </xf>
    <xf numFmtId="0" fontId="2" fillId="3" borderId="23" xfId="0" applyFont="1" applyFill="1" applyBorder="1" applyAlignment="1" applyProtection="1">
      <alignment horizontal="left" vertical="center" indent="1"/>
      <protection locked="0"/>
    </xf>
    <xf numFmtId="0" fontId="2" fillId="3" borderId="25" xfId="0" applyFont="1" applyFill="1" applyBorder="1" applyAlignment="1" applyProtection="1">
      <alignment horizontal="left" vertical="center" indent="1"/>
      <protection locked="0"/>
    </xf>
    <xf numFmtId="0" fontId="2" fillId="3" borderId="26" xfId="0" applyFont="1" applyFill="1" applyBorder="1" applyAlignment="1" applyProtection="1">
      <alignment horizontal="left" vertical="center" indent="1"/>
      <protection locked="0"/>
    </xf>
    <xf numFmtId="0" fontId="2" fillId="3" borderId="28" xfId="0" applyFont="1" applyFill="1" applyBorder="1" applyAlignment="1" applyProtection="1">
      <alignment horizontal="left" vertical="center" indent="1"/>
      <protection locked="0"/>
    </xf>
    <xf numFmtId="0" fontId="2" fillId="3" borderId="26" xfId="0" applyFont="1" applyFill="1" applyBorder="1" applyAlignment="1" applyProtection="1">
      <alignment horizontal="center" vertical="center"/>
      <protection locked="0"/>
    </xf>
    <xf numFmtId="0" fontId="2" fillId="3" borderId="51"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protection locked="0"/>
    </xf>
    <xf numFmtId="0" fontId="9" fillId="0" borderId="4" xfId="0" applyFont="1" applyBorder="1" applyAlignment="1" applyProtection="1">
      <alignment horizontal="center" vertical="center" wrapText="1"/>
      <protection hidden="1"/>
    </xf>
    <xf numFmtId="0" fontId="10" fillId="0" borderId="4" xfId="0" applyFont="1" applyBorder="1" applyAlignment="1" applyProtection="1">
      <alignment horizontal="center" vertical="center" wrapText="1"/>
      <protection hidden="1"/>
    </xf>
    <xf numFmtId="0" fontId="4" fillId="0" borderId="1" xfId="0" applyFont="1" applyBorder="1" applyAlignment="1" applyProtection="1">
      <alignment horizontal="left" vertical="center" shrinkToFit="1"/>
      <protection hidden="1"/>
    </xf>
    <xf numFmtId="0" fontId="4" fillId="0" borderId="2" xfId="0" applyFont="1" applyBorder="1" applyAlignment="1" applyProtection="1">
      <alignment horizontal="left" vertical="center" shrinkToFit="1"/>
      <protection hidden="1"/>
    </xf>
    <xf numFmtId="0" fontId="4" fillId="0" borderId="3" xfId="0" applyFont="1" applyBorder="1" applyAlignment="1" applyProtection="1">
      <alignment horizontal="left" vertical="center" shrinkToFit="1"/>
      <protection hidden="1"/>
    </xf>
    <xf numFmtId="0" fontId="4" fillId="0" borderId="1" xfId="0" applyFont="1" applyBorder="1" applyAlignment="1" applyProtection="1">
      <alignment horizontal="right" vertical="center" shrinkToFit="1"/>
      <protection hidden="1"/>
    </xf>
    <xf numFmtId="0" fontId="4" fillId="0" borderId="2" xfId="0" applyFont="1" applyBorder="1" applyAlignment="1" applyProtection="1">
      <alignment horizontal="right" vertical="center" shrinkToFit="1"/>
      <protection hidden="1"/>
    </xf>
    <xf numFmtId="0" fontId="4" fillId="0" borderId="3" xfId="0" applyFont="1" applyBorder="1" applyAlignment="1" applyProtection="1">
      <alignment horizontal="right" vertical="center" shrinkToFit="1"/>
      <protection hidden="1"/>
    </xf>
    <xf numFmtId="0" fontId="4" fillId="0" borderId="0" xfId="0" applyFont="1" applyAlignment="1" applyProtection="1">
      <alignment horizontal="center" vertical="center"/>
      <protection hidden="1"/>
    </xf>
    <xf numFmtId="0" fontId="4" fillId="0" borderId="4" xfId="0" applyFont="1" applyBorder="1" applyAlignment="1" applyProtection="1">
      <alignment horizontal="left" vertical="center" shrinkToFit="1"/>
      <protection hidden="1"/>
    </xf>
    <xf numFmtId="0" fontId="4" fillId="0" borderId="0" xfId="0" applyFont="1" applyAlignment="1" applyProtection="1">
      <alignment horizontal="right" vertical="center" wrapText="1"/>
      <protection hidden="1"/>
    </xf>
    <xf numFmtId="0" fontId="4" fillId="0" borderId="0" xfId="0" applyFont="1" applyAlignment="1" applyProtection="1">
      <alignment horizontal="left" vertical="center" wrapText="1"/>
      <protection hidden="1"/>
    </xf>
    <xf numFmtId="0" fontId="8" fillId="0" borderId="0" xfId="0" applyFont="1" applyAlignment="1" applyProtection="1">
      <alignment horizontal="right" vertical="center" wrapText="1"/>
      <protection hidden="1"/>
    </xf>
    <xf numFmtId="0" fontId="8" fillId="0" borderId="0" xfId="0" applyFont="1" applyAlignment="1" applyProtection="1">
      <alignment horizontal="left" vertical="center" wrapText="1"/>
      <protection hidden="1"/>
    </xf>
    <xf numFmtId="0" fontId="9" fillId="0" borderId="1" xfId="0" applyFont="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xf numFmtId="0" fontId="10" fillId="0" borderId="2" xfId="0" applyFont="1" applyBorder="1" applyAlignment="1" applyProtection="1">
      <alignment horizontal="center" vertical="center" wrapText="1"/>
      <protection hidden="1"/>
    </xf>
    <xf numFmtId="0" fontId="10" fillId="0" borderId="3" xfId="0" applyFont="1" applyBorder="1" applyAlignment="1" applyProtection="1">
      <alignment horizontal="center" vertical="center" wrapText="1"/>
      <protection hidden="1"/>
    </xf>
    <xf numFmtId="0" fontId="52" fillId="0" borderId="41" xfId="0" applyFont="1" applyBorder="1" applyAlignment="1" applyProtection="1">
      <alignment horizontal="center" vertical="center" wrapText="1"/>
      <protection hidden="1"/>
    </xf>
    <xf numFmtId="0" fontId="52" fillId="0" borderId="18" xfId="0" applyFont="1" applyBorder="1" applyAlignment="1" applyProtection="1">
      <alignment horizontal="center" vertical="center" wrapText="1"/>
      <protection hidden="1"/>
    </xf>
    <xf numFmtId="0" fontId="52" fillId="0" borderId="43" xfId="0" applyFont="1" applyBorder="1" applyAlignment="1" applyProtection="1">
      <alignment horizontal="center" vertical="center" wrapText="1"/>
      <protection hidden="1"/>
    </xf>
    <xf numFmtId="0" fontId="4" fillId="0" borderId="8"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4" fillId="0" borderId="9" xfId="0" applyFont="1" applyBorder="1" applyAlignment="1" applyProtection="1">
      <alignment horizontal="left" vertical="center" wrapText="1"/>
      <protection hidden="1"/>
    </xf>
    <xf numFmtId="0" fontId="4" fillId="0" borderId="10" xfId="0" applyFont="1" applyBorder="1" applyAlignment="1" applyProtection="1">
      <alignment horizontal="left" vertical="center" wrapText="1"/>
      <protection hidden="1"/>
    </xf>
    <xf numFmtId="0" fontId="4" fillId="0" borderId="11" xfId="0" applyFont="1" applyBorder="1" applyAlignment="1" applyProtection="1">
      <alignment horizontal="left" vertical="center" wrapText="1"/>
      <protection hidden="1"/>
    </xf>
    <xf numFmtId="0" fontId="4" fillId="0" borderId="12" xfId="0" applyFont="1" applyBorder="1" applyAlignment="1" applyProtection="1">
      <alignment horizontal="left" vertical="center" wrapText="1"/>
      <protection hidden="1"/>
    </xf>
    <xf numFmtId="0" fontId="4" fillId="0" borderId="0" xfId="0" applyFont="1" applyAlignment="1" applyProtection="1">
      <alignment horizontal="left" vertical="center"/>
      <protection hidden="1"/>
    </xf>
    <xf numFmtId="0" fontId="9" fillId="0" borderId="0" xfId="0" applyFont="1" applyAlignment="1" applyProtection="1">
      <alignment horizontal="center" vertical="center"/>
      <protection hidden="1"/>
    </xf>
    <xf numFmtId="0" fontId="42"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4" fillId="0" borderId="0" xfId="0" applyFont="1" applyAlignment="1" applyProtection="1">
      <alignment horizontal="left" vertical="top" wrapText="1"/>
      <protection hidden="1"/>
    </xf>
    <xf numFmtId="166" fontId="4" fillId="0" borderId="0" xfId="0" applyNumberFormat="1" applyFont="1" applyAlignment="1" applyProtection="1">
      <alignment horizontal="left" vertical="center"/>
      <protection hidden="1"/>
    </xf>
    <xf numFmtId="166" fontId="5" fillId="0" borderId="0" xfId="0" applyNumberFormat="1" applyFont="1" applyAlignment="1" applyProtection="1">
      <alignment horizontal="left" vertical="center"/>
      <protection hidden="1"/>
    </xf>
    <xf numFmtId="0" fontId="11" fillId="0" borderId="13" xfId="0" applyFont="1" applyBorder="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xf numFmtId="0" fontId="5" fillId="0" borderId="0" xfId="0" applyFont="1" applyAlignment="1" applyProtection="1">
      <alignment horizontal="left" vertical="center" wrapText="1"/>
      <protection hidden="1"/>
    </xf>
    <xf numFmtId="0" fontId="5" fillId="0" borderId="0" xfId="0" applyFont="1" applyAlignment="1" applyProtection="1">
      <alignment horizontal="left" wrapText="1"/>
      <protection hidden="1"/>
    </xf>
    <xf numFmtId="166" fontId="5" fillId="0" borderId="0" xfId="0" applyNumberFormat="1" applyFont="1" applyAlignment="1" applyProtection="1">
      <alignment horizontal="center" vertical="center"/>
      <protection hidden="1"/>
    </xf>
    <xf numFmtId="0" fontId="5" fillId="0" borderId="0" xfId="0" applyFont="1" applyAlignment="1" applyProtection="1">
      <alignment horizontal="center" vertical="center" wrapText="1"/>
      <protection hidden="1"/>
    </xf>
    <xf numFmtId="0" fontId="35" fillId="0" borderId="0" xfId="0" applyFont="1" applyAlignment="1" applyProtection="1">
      <alignment horizontal="left" vertical="top"/>
      <protection hidden="1"/>
    </xf>
    <xf numFmtId="0" fontId="5" fillId="0" borderId="0" xfId="0" applyFont="1" applyAlignment="1" applyProtection="1">
      <alignment horizontal="left" vertical="center"/>
      <protection hidden="1"/>
    </xf>
    <xf numFmtId="0" fontId="12" fillId="0" borderId="0" xfId="0" applyFont="1" applyAlignment="1" applyProtection="1">
      <alignment horizontal="center" vertical="center"/>
      <protection hidden="1"/>
    </xf>
    <xf numFmtId="14" fontId="4" fillId="0" borderId="4" xfId="0" applyNumberFormat="1" applyFont="1" applyBorder="1" applyAlignment="1" applyProtection="1">
      <alignment horizontal="center" vertical="center"/>
      <protection hidden="1"/>
    </xf>
    <xf numFmtId="164" fontId="4" fillId="0" borderId="4" xfId="1" applyNumberFormat="1" applyFont="1" applyBorder="1" applyAlignment="1" applyProtection="1">
      <alignment horizontal="center" vertical="center"/>
      <protection hidden="1"/>
    </xf>
    <xf numFmtId="164" fontId="4" fillId="0" borderId="4" xfId="1" applyFont="1" applyBorder="1" applyAlignment="1" applyProtection="1">
      <alignment horizontal="left" vertical="center" shrinkToFit="1"/>
      <protection hidden="1"/>
    </xf>
    <xf numFmtId="0" fontId="5" fillId="0" borderId="6"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5" fillId="0" borderId="9" xfId="0" applyFont="1" applyBorder="1" applyAlignment="1" applyProtection="1">
      <alignment horizontal="center" vertical="center" wrapText="1"/>
      <protection hidden="1"/>
    </xf>
    <xf numFmtId="164" fontId="4" fillId="0" borderId="4" xfId="1" applyFont="1" applyBorder="1" applyAlignment="1" applyProtection="1">
      <alignment horizontal="center" vertical="center"/>
      <protection hidden="1"/>
    </xf>
    <xf numFmtId="0" fontId="5" fillId="0" borderId="5" xfId="0" applyFont="1" applyBorder="1" applyAlignment="1" applyProtection="1">
      <alignment horizontal="left" vertical="center" indent="1"/>
      <protection hidden="1"/>
    </xf>
    <xf numFmtId="0" fontId="5" fillId="0" borderId="6" xfId="0" applyFont="1" applyBorder="1" applyAlignment="1" applyProtection="1">
      <alignment horizontal="left" vertical="center" indent="1"/>
      <protection hidden="1"/>
    </xf>
    <xf numFmtId="0" fontId="5" fillId="0" borderId="7" xfId="0" applyFont="1" applyBorder="1" applyAlignment="1" applyProtection="1">
      <alignment horizontal="left" vertical="center" indent="1"/>
      <protection hidden="1"/>
    </xf>
    <xf numFmtId="0" fontId="5" fillId="0" borderId="8" xfId="0" applyFont="1" applyBorder="1" applyAlignment="1" applyProtection="1">
      <alignment horizontal="left" vertical="center" indent="1"/>
      <protection hidden="1"/>
    </xf>
    <xf numFmtId="0" fontId="5" fillId="0" borderId="0" xfId="0" applyFont="1" applyBorder="1" applyAlignment="1" applyProtection="1">
      <alignment horizontal="left" vertical="center" indent="1"/>
      <protection hidden="1"/>
    </xf>
    <xf numFmtId="0" fontId="5" fillId="0" borderId="9" xfId="0" applyFont="1" applyBorder="1" applyAlignment="1" applyProtection="1">
      <alignment horizontal="left" vertical="center" indent="1"/>
      <protection hidden="1"/>
    </xf>
    <xf numFmtId="0" fontId="5" fillId="0" borderId="10" xfId="0" applyFont="1" applyBorder="1" applyAlignment="1" applyProtection="1">
      <alignment horizontal="left" vertical="center" indent="1"/>
      <protection hidden="1"/>
    </xf>
    <xf numFmtId="0" fontId="5" fillId="0" borderId="11" xfId="0" applyFont="1" applyBorder="1" applyAlignment="1" applyProtection="1">
      <alignment horizontal="left" vertical="center" indent="1"/>
      <protection hidden="1"/>
    </xf>
    <xf numFmtId="0" fontId="5" fillId="0" borderId="12" xfId="0" applyFont="1" applyBorder="1" applyAlignment="1" applyProtection="1">
      <alignment horizontal="left" vertical="center" indent="1"/>
      <protection hidden="1"/>
    </xf>
    <xf numFmtId="164" fontId="18" fillId="0" borderId="1" xfId="1" applyFont="1" applyBorder="1" applyAlignment="1" applyProtection="1">
      <alignment horizontal="left" vertical="center"/>
      <protection hidden="1"/>
    </xf>
    <xf numFmtId="164" fontId="18" fillId="0" borderId="2" xfId="1" applyFont="1" applyBorder="1" applyAlignment="1" applyProtection="1">
      <alignment horizontal="left" vertical="center"/>
      <protection hidden="1"/>
    </xf>
    <xf numFmtId="164" fontId="5" fillId="0" borderId="18" xfId="1" applyFont="1" applyBorder="1" applyAlignment="1" applyProtection="1">
      <alignment horizontal="left" vertical="center"/>
      <protection hidden="1"/>
    </xf>
    <xf numFmtId="164" fontId="5" fillId="0" borderId="10" xfId="1" applyFont="1" applyBorder="1" applyAlignment="1" applyProtection="1">
      <alignment horizontal="center" vertical="center"/>
      <protection hidden="1"/>
    </xf>
    <xf numFmtId="164" fontId="5" fillId="0" borderId="11" xfId="1" applyFont="1" applyBorder="1" applyAlignment="1" applyProtection="1">
      <alignment horizontal="center" vertical="center"/>
      <protection hidden="1"/>
    </xf>
    <xf numFmtId="164" fontId="5" fillId="0" borderId="5" xfId="1" applyFont="1" applyBorder="1" applyAlignment="1" applyProtection="1">
      <alignment horizontal="center" vertical="center"/>
      <protection hidden="1"/>
    </xf>
    <xf numFmtId="164" fontId="5" fillId="0" borderId="6" xfId="1" applyFont="1" applyBorder="1" applyAlignment="1" applyProtection="1">
      <alignment horizontal="center" vertical="center"/>
      <protection hidden="1"/>
    </xf>
    <xf numFmtId="164" fontId="5" fillId="0" borderId="1" xfId="1" applyFont="1" applyBorder="1" applyAlignment="1" applyProtection="1">
      <alignment horizontal="left" vertical="center"/>
      <protection hidden="1"/>
    </xf>
    <xf numFmtId="164" fontId="5" fillId="0" borderId="2" xfId="1" applyFont="1" applyBorder="1" applyAlignment="1" applyProtection="1">
      <alignment horizontal="left" vertical="center"/>
      <protection hidden="1"/>
    </xf>
    <xf numFmtId="164" fontId="5" fillId="0" borderId="1" xfId="1" applyFont="1" applyFill="1" applyBorder="1" applyAlignment="1" applyProtection="1">
      <alignment horizontal="left" vertical="center"/>
      <protection hidden="1"/>
    </xf>
    <xf numFmtId="164" fontId="5" fillId="0" borderId="2" xfId="1" applyFont="1" applyFill="1" applyBorder="1" applyAlignment="1" applyProtection="1">
      <alignment horizontal="left" vertical="center"/>
      <protection hidden="1"/>
    </xf>
    <xf numFmtId="0" fontId="11" fillId="0" borderId="1" xfId="0" applyFont="1" applyBorder="1" applyAlignment="1" applyProtection="1">
      <alignment horizontal="center" vertical="center" wrapText="1"/>
      <protection hidden="1"/>
    </xf>
    <xf numFmtId="0" fontId="11" fillId="0" borderId="2" xfId="0" applyFont="1" applyBorder="1" applyAlignment="1" applyProtection="1">
      <alignment horizontal="center" vertical="center" wrapText="1"/>
      <protection hidden="1"/>
    </xf>
    <xf numFmtId="0" fontId="11" fillId="0" borderId="3" xfId="0" applyFont="1" applyBorder="1" applyAlignment="1" applyProtection="1">
      <alignment horizontal="center" vertical="center" wrapText="1"/>
      <protection hidden="1"/>
    </xf>
    <xf numFmtId="166" fontId="9" fillId="0" borderId="0" xfId="0" applyNumberFormat="1" applyFont="1" applyAlignment="1" applyProtection="1">
      <alignment horizontal="left" vertical="center"/>
      <protection hidden="1"/>
    </xf>
    <xf numFmtId="0" fontId="17" fillId="0" borderId="0" xfId="0" applyFont="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9" fillId="0" borderId="1" xfId="0" applyFont="1" applyBorder="1" applyAlignment="1" applyProtection="1">
      <alignment horizontal="left" vertical="center" wrapText="1"/>
      <protection hidden="1"/>
    </xf>
    <xf numFmtId="0" fontId="9" fillId="0" borderId="2" xfId="0" applyFont="1" applyBorder="1" applyAlignment="1" applyProtection="1">
      <alignment horizontal="left" vertical="center" wrapText="1"/>
      <protection hidden="1"/>
    </xf>
    <xf numFmtId="0" fontId="9" fillId="0" borderId="3" xfId="0" applyFont="1" applyBorder="1" applyAlignment="1" applyProtection="1">
      <alignment horizontal="left" vertical="center" wrapText="1"/>
      <protection hidden="1"/>
    </xf>
    <xf numFmtId="167" fontId="5" fillId="0" borderId="11" xfId="1" applyNumberFormat="1" applyFont="1" applyBorder="1" applyAlignment="1" applyProtection="1">
      <alignment horizontal="left" vertical="center"/>
      <protection hidden="1"/>
    </xf>
    <xf numFmtId="0" fontId="49" fillId="0" borderId="6" xfId="0" applyFont="1" applyBorder="1" applyAlignment="1" applyProtection="1">
      <alignment horizontal="left" vertical="center" wrapText="1"/>
      <protection hidden="1"/>
    </xf>
    <xf numFmtId="2" fontId="51" fillId="0" borderId="2" xfId="1" applyNumberFormat="1" applyFont="1" applyBorder="1" applyAlignment="1" applyProtection="1">
      <alignment horizontal="left" vertical="center"/>
      <protection hidden="1"/>
    </xf>
    <xf numFmtId="2" fontId="35" fillId="0" borderId="2" xfId="1" applyNumberFormat="1" applyFont="1" applyBorder="1" applyAlignment="1" applyProtection="1">
      <alignment horizontal="left" vertical="center"/>
      <protection hidden="1"/>
    </xf>
    <xf numFmtId="0" fontId="50" fillId="0" borderId="6" xfId="0" applyFont="1" applyBorder="1" applyAlignment="1" applyProtection="1">
      <alignment horizontal="left" vertical="center" wrapText="1"/>
      <protection hidden="1"/>
    </xf>
    <xf numFmtId="0" fontId="8" fillId="0" borderId="2"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0" fontId="9" fillId="0" borderId="11" xfId="0" applyFont="1" applyBorder="1" applyAlignment="1" applyProtection="1">
      <alignment horizontal="left" vertical="center"/>
      <protection hidden="1"/>
    </xf>
    <xf numFmtId="0" fontId="9" fillId="0" borderId="12" xfId="0" applyFont="1" applyBorder="1" applyAlignment="1" applyProtection="1">
      <alignment horizontal="left" vertical="center"/>
      <protection hidden="1"/>
    </xf>
    <xf numFmtId="164" fontId="18" fillId="0" borderId="23" xfId="1" applyFont="1" applyBorder="1" applyAlignment="1" applyProtection="1">
      <alignment horizontal="right" vertical="center" indent="2"/>
      <protection hidden="1"/>
    </xf>
    <xf numFmtId="164" fontId="18" fillId="0" borderId="24" xfId="1" applyFont="1" applyBorder="1" applyAlignment="1" applyProtection="1">
      <alignment horizontal="right" vertical="center" indent="2"/>
      <protection hidden="1"/>
    </xf>
    <xf numFmtId="164" fontId="5" fillId="0" borderId="17" xfId="1" applyFont="1" applyBorder="1" applyAlignment="1" applyProtection="1">
      <alignment horizontal="left" vertical="center"/>
      <protection hidden="1"/>
    </xf>
    <xf numFmtId="0" fontId="5" fillId="0" borderId="10" xfId="0" applyFont="1" applyBorder="1" applyAlignment="1" applyProtection="1">
      <alignment horizontal="left" vertical="center"/>
      <protection hidden="1"/>
    </xf>
    <xf numFmtId="0" fontId="5" fillId="0" borderId="11" xfId="0" applyFont="1" applyBorder="1" applyAlignment="1" applyProtection="1">
      <alignment horizontal="left" vertical="center"/>
      <protection hidden="1"/>
    </xf>
    <xf numFmtId="164" fontId="5" fillId="0" borderId="8" xfId="1" applyFont="1" applyBorder="1" applyAlignment="1" applyProtection="1">
      <alignment horizontal="left" vertical="center"/>
      <protection hidden="1"/>
    </xf>
    <xf numFmtId="164" fontId="5" fillId="0" borderId="0" xfId="1" applyFont="1" applyBorder="1" applyAlignment="1" applyProtection="1">
      <alignment horizontal="left" vertical="center"/>
      <protection hidden="1"/>
    </xf>
    <xf numFmtId="164" fontId="5" fillId="0" borderId="1" xfId="1" applyFont="1" applyBorder="1" applyAlignment="1" applyProtection="1">
      <alignment horizontal="center" vertical="center"/>
      <protection hidden="1"/>
    </xf>
    <xf numFmtId="164" fontId="5" fillId="0" borderId="2" xfId="1" applyFont="1" applyBorder="1" applyAlignment="1" applyProtection="1">
      <alignment horizontal="center" vertical="center"/>
      <protection hidden="1"/>
    </xf>
    <xf numFmtId="0" fontId="9" fillId="0" borderId="5" xfId="0" applyFont="1" applyBorder="1" applyAlignment="1" applyProtection="1">
      <alignment horizontal="left" vertical="center"/>
      <protection hidden="1"/>
    </xf>
    <xf numFmtId="0" fontId="9" fillId="0" borderId="8" xfId="0" applyFont="1" applyBorder="1" applyAlignment="1" applyProtection="1">
      <alignment horizontal="left" vertical="center"/>
      <protection hidden="1"/>
    </xf>
    <xf numFmtId="0" fontId="9" fillId="0" borderId="14" xfId="0" applyFont="1" applyBorder="1" applyAlignment="1" applyProtection="1">
      <alignment horizontal="left" vertical="center"/>
      <protection hidden="1"/>
    </xf>
    <xf numFmtId="167" fontId="5" fillId="0" borderId="8" xfId="1" applyNumberFormat="1" applyFont="1" applyBorder="1" applyAlignment="1" applyProtection="1">
      <alignment horizontal="left" vertical="center" indent="1"/>
      <protection hidden="1"/>
    </xf>
    <xf numFmtId="167" fontId="5" fillId="0" borderId="0" xfId="1" applyNumberFormat="1" applyFont="1" applyBorder="1" applyAlignment="1" applyProtection="1">
      <alignment horizontal="left" vertical="center" indent="1"/>
      <protection hidden="1"/>
    </xf>
    <xf numFmtId="167" fontId="5" fillId="0" borderId="9" xfId="1" applyNumberFormat="1" applyFont="1" applyBorder="1" applyAlignment="1" applyProtection="1">
      <alignment horizontal="left" vertical="center" indent="1"/>
      <protection hidden="1"/>
    </xf>
    <xf numFmtId="1" fontId="5" fillId="0" borderId="1" xfId="0" applyNumberFormat="1" applyFont="1" applyBorder="1" applyAlignment="1" applyProtection="1">
      <alignment horizontal="left" vertical="center"/>
      <protection hidden="1"/>
    </xf>
    <xf numFmtId="0" fontId="5" fillId="0" borderId="2" xfId="0" applyFont="1" applyBorder="1" applyAlignment="1" applyProtection="1">
      <alignment horizontal="left" vertical="center"/>
      <protection hidden="1"/>
    </xf>
    <xf numFmtId="0" fontId="5" fillId="0" borderId="1" xfId="0" applyFont="1" applyBorder="1" applyAlignment="1" applyProtection="1">
      <alignment horizontal="left" vertical="center"/>
      <protection hidden="1"/>
    </xf>
    <xf numFmtId="0" fontId="9" fillId="0" borderId="10" xfId="0" applyFont="1" applyBorder="1" applyAlignment="1" applyProtection="1">
      <alignment horizontal="left" vertical="center"/>
      <protection hidden="1"/>
    </xf>
    <xf numFmtId="0" fontId="9" fillId="0" borderId="6" xfId="0" applyFont="1" applyBorder="1" applyAlignment="1" applyProtection="1">
      <alignment horizontal="left" vertical="center" wrapText="1"/>
      <protection hidden="1"/>
    </xf>
    <xf numFmtId="0" fontId="9" fillId="0" borderId="7" xfId="0" applyFont="1" applyBorder="1" applyAlignment="1" applyProtection="1">
      <alignment horizontal="left" vertical="center" wrapText="1"/>
      <protection hidden="1"/>
    </xf>
    <xf numFmtId="0" fontId="9" fillId="0" borderId="11" xfId="0" applyFont="1" applyBorder="1" applyAlignment="1" applyProtection="1">
      <alignment horizontal="left" vertical="center" wrapText="1"/>
      <protection hidden="1"/>
    </xf>
    <xf numFmtId="0" fontId="9" fillId="0" borderId="12" xfId="0" applyFont="1" applyBorder="1" applyAlignment="1" applyProtection="1">
      <alignment horizontal="left" vertical="center" wrapText="1"/>
      <protection hidden="1"/>
    </xf>
    <xf numFmtId="0" fontId="11" fillId="0" borderId="5" xfId="0" applyFont="1" applyBorder="1" applyAlignment="1" applyProtection="1">
      <alignment horizontal="left" vertical="center" wrapText="1"/>
      <protection hidden="1"/>
    </xf>
    <xf numFmtId="0" fontId="11" fillId="0" borderId="6" xfId="0" applyFont="1" applyBorder="1" applyAlignment="1" applyProtection="1">
      <alignment horizontal="left" vertical="center" wrapText="1"/>
      <protection hidden="1"/>
    </xf>
    <xf numFmtId="0" fontId="11" fillId="0" borderId="7" xfId="0" applyFont="1" applyBorder="1" applyAlignment="1" applyProtection="1">
      <alignment horizontal="left" vertical="center" wrapText="1"/>
      <protection hidden="1"/>
    </xf>
    <xf numFmtId="0" fontId="11" fillId="0" borderId="10" xfId="0" applyFont="1" applyBorder="1" applyAlignment="1" applyProtection="1">
      <alignment horizontal="left" vertical="center" wrapText="1"/>
      <protection hidden="1"/>
    </xf>
    <xf numFmtId="0" fontId="11" fillId="0" borderId="11" xfId="0" applyFont="1" applyBorder="1" applyAlignment="1" applyProtection="1">
      <alignment horizontal="left" vertical="center" wrapText="1"/>
      <protection hidden="1"/>
    </xf>
    <xf numFmtId="0" fontId="11" fillId="0" borderId="12" xfId="0" applyFont="1" applyBorder="1" applyAlignment="1" applyProtection="1">
      <alignment horizontal="left" vertical="center" wrapText="1"/>
      <protection hidden="1"/>
    </xf>
    <xf numFmtId="2" fontId="5" fillId="0" borderId="1" xfId="1" applyNumberFormat="1" applyFont="1" applyBorder="1" applyAlignment="1" applyProtection="1">
      <alignment horizontal="left" vertical="center" indent="1"/>
      <protection hidden="1"/>
    </xf>
    <xf numFmtId="2" fontId="5" fillId="0" borderId="2" xfId="1" applyNumberFormat="1" applyFont="1" applyBorder="1" applyAlignment="1" applyProtection="1">
      <alignment horizontal="left" vertical="center" indent="1"/>
      <protection hidden="1"/>
    </xf>
    <xf numFmtId="2" fontId="5" fillId="0" borderId="3" xfId="1" applyNumberFormat="1" applyFont="1" applyBorder="1" applyAlignment="1" applyProtection="1">
      <alignment horizontal="left" vertical="center" indent="1"/>
      <protection hidden="1"/>
    </xf>
    <xf numFmtId="0" fontId="4" fillId="0" borderId="1"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0" fontId="4" fillId="0" borderId="3" xfId="0" applyFont="1" applyBorder="1" applyAlignment="1" applyProtection="1">
      <alignment horizontal="left" vertical="center"/>
      <protection hidden="1"/>
    </xf>
    <xf numFmtId="0" fontId="9" fillId="0" borderId="6" xfId="0" quotePrefix="1" applyFont="1" applyBorder="1" applyAlignment="1" applyProtection="1">
      <alignment horizontal="left" vertical="center" wrapText="1"/>
      <protection hidden="1"/>
    </xf>
    <xf numFmtId="0" fontId="9" fillId="0" borderId="7" xfId="0" quotePrefix="1" applyFont="1" applyBorder="1" applyAlignment="1" applyProtection="1">
      <alignment horizontal="left" vertical="center" wrapText="1"/>
      <protection hidden="1"/>
    </xf>
    <xf numFmtId="0" fontId="9" fillId="0" borderId="11" xfId="0" quotePrefix="1" applyFont="1" applyBorder="1" applyAlignment="1" applyProtection="1">
      <alignment horizontal="left" vertical="center" wrapText="1"/>
      <protection hidden="1"/>
    </xf>
    <xf numFmtId="0" fontId="9" fillId="0" borderId="12" xfId="0" quotePrefix="1" applyFont="1" applyBorder="1" applyAlignment="1" applyProtection="1">
      <alignment horizontal="left" vertical="center" wrapText="1"/>
      <protection hidden="1"/>
    </xf>
    <xf numFmtId="2" fontId="5" fillId="0" borderId="10" xfId="1" applyNumberFormat="1" applyFont="1" applyBorder="1" applyAlignment="1" applyProtection="1">
      <alignment horizontal="left" vertical="center" indent="1"/>
      <protection hidden="1"/>
    </xf>
    <xf numFmtId="2" fontId="5" fillId="0" borderId="11" xfId="1" applyNumberFormat="1" applyFont="1" applyBorder="1" applyAlignment="1" applyProtection="1">
      <alignment horizontal="left" vertical="center" indent="1"/>
      <protection hidden="1"/>
    </xf>
    <xf numFmtId="2" fontId="5" fillId="0" borderId="8" xfId="0" applyNumberFormat="1" applyFont="1" applyBorder="1" applyAlignment="1" applyProtection="1">
      <alignment horizontal="left" vertical="center" indent="1"/>
      <protection hidden="1"/>
    </xf>
    <xf numFmtId="2" fontId="5" fillId="0" borderId="0" xfId="0" applyNumberFormat="1" applyFont="1" applyBorder="1" applyAlignment="1" applyProtection="1">
      <alignment horizontal="left" vertical="center" indent="1"/>
      <protection hidden="1"/>
    </xf>
    <xf numFmtId="2" fontId="5" fillId="0" borderId="17" xfId="0" applyNumberFormat="1" applyFont="1" applyBorder="1" applyAlignment="1" applyProtection="1">
      <alignment horizontal="left" vertical="center" indent="1"/>
      <protection hidden="1"/>
    </xf>
    <xf numFmtId="2" fontId="5" fillId="0" borderId="18" xfId="0" applyNumberFormat="1" applyFont="1" applyBorder="1" applyAlignment="1" applyProtection="1">
      <alignment horizontal="left" vertical="center" indent="1"/>
      <protection hidden="1"/>
    </xf>
    <xf numFmtId="0" fontId="9" fillId="0" borderId="20" xfId="0" applyFont="1" applyBorder="1" applyAlignment="1" applyProtection="1">
      <alignment horizontal="left" vertical="center"/>
      <protection hidden="1"/>
    </xf>
    <xf numFmtId="0" fontId="9" fillId="0" borderId="21" xfId="0" applyFont="1" applyBorder="1" applyAlignment="1" applyProtection="1">
      <alignment horizontal="left" vertical="center" wrapText="1"/>
      <protection hidden="1"/>
    </xf>
    <xf numFmtId="0" fontId="9" fillId="0" borderId="22" xfId="0" applyFont="1" applyBorder="1" applyAlignment="1" applyProtection="1">
      <alignment horizontal="left" vertical="center" wrapText="1"/>
      <protection hidden="1"/>
    </xf>
    <xf numFmtId="2" fontId="5" fillId="0" borderId="20" xfId="0" applyNumberFormat="1" applyFont="1" applyBorder="1" applyAlignment="1" applyProtection="1">
      <alignment horizontal="left" vertical="center" indent="2"/>
      <protection hidden="1"/>
    </xf>
    <xf numFmtId="2" fontId="5" fillId="0" borderId="21" xfId="0" applyNumberFormat="1" applyFont="1" applyBorder="1" applyAlignment="1" applyProtection="1">
      <alignment horizontal="left" vertical="center" indent="2"/>
      <protection hidden="1"/>
    </xf>
    <xf numFmtId="2" fontId="5" fillId="0" borderId="10" xfId="0" applyNumberFormat="1" applyFont="1" applyBorder="1" applyAlignment="1" applyProtection="1">
      <alignment horizontal="left" vertical="center" indent="2"/>
      <protection hidden="1"/>
    </xf>
    <xf numFmtId="2" fontId="5" fillId="0" borderId="11" xfId="0" applyNumberFormat="1" applyFont="1" applyBorder="1" applyAlignment="1" applyProtection="1">
      <alignment horizontal="left" vertical="center" indent="2"/>
      <protection hidden="1"/>
    </xf>
    <xf numFmtId="2" fontId="5" fillId="0" borderId="5" xfId="1" applyNumberFormat="1" applyFont="1" applyBorder="1" applyAlignment="1" applyProtection="1">
      <alignment horizontal="left" vertical="center" indent="1"/>
      <protection hidden="1"/>
    </xf>
    <xf numFmtId="2" fontId="5" fillId="0" borderId="6" xfId="1" applyNumberFormat="1" applyFont="1" applyBorder="1" applyAlignment="1" applyProtection="1">
      <alignment horizontal="left" vertical="center" indent="1"/>
      <protection hidden="1"/>
    </xf>
    <xf numFmtId="0" fontId="8" fillId="0" borderId="5" xfId="0" applyFont="1" applyBorder="1" applyAlignment="1" applyProtection="1">
      <alignment horizontal="left" vertical="center" wrapText="1"/>
      <protection hidden="1"/>
    </xf>
    <xf numFmtId="0" fontId="8" fillId="0" borderId="6" xfId="0" applyFont="1" applyBorder="1" applyAlignment="1" applyProtection="1">
      <alignment horizontal="left" vertical="center" wrapText="1"/>
      <protection hidden="1"/>
    </xf>
    <xf numFmtId="0" fontId="8" fillId="0" borderId="7" xfId="0" applyFont="1" applyBorder="1" applyAlignment="1" applyProtection="1">
      <alignment horizontal="left" vertical="center" wrapText="1"/>
      <protection hidden="1"/>
    </xf>
    <xf numFmtId="0" fontId="8" fillId="0" borderId="10" xfId="0" applyFont="1" applyBorder="1" applyAlignment="1" applyProtection="1">
      <alignment horizontal="left" vertical="center" wrapText="1"/>
      <protection hidden="1"/>
    </xf>
    <xf numFmtId="0" fontId="8" fillId="0" borderId="11" xfId="0" applyFont="1" applyBorder="1" applyAlignment="1" applyProtection="1">
      <alignment horizontal="left" vertical="center" wrapText="1"/>
      <protection hidden="1"/>
    </xf>
    <xf numFmtId="0" fontId="8" fillId="0" borderId="12" xfId="0" applyFont="1" applyBorder="1" applyAlignment="1" applyProtection="1">
      <alignment horizontal="left" vertical="center" wrapText="1"/>
      <protection hidden="1"/>
    </xf>
    <xf numFmtId="0" fontId="13" fillId="0" borderId="0" xfId="0" applyFont="1" applyAlignment="1" applyProtection="1">
      <alignment horizontal="center" vertical="center"/>
      <protection hidden="1"/>
    </xf>
    <xf numFmtId="0" fontId="14" fillId="0" borderId="0" xfId="0" applyFont="1" applyAlignment="1" applyProtection="1">
      <alignment horizontal="center" vertical="center"/>
      <protection hidden="1"/>
    </xf>
    <xf numFmtId="0" fontId="5" fillId="0" borderId="5" xfId="0" applyFont="1" applyBorder="1" applyAlignment="1" applyProtection="1">
      <alignment horizontal="left" vertical="center"/>
      <protection hidden="1"/>
    </xf>
    <xf numFmtId="0" fontId="5" fillId="0" borderId="6" xfId="0" applyFont="1" applyBorder="1" applyAlignment="1" applyProtection="1">
      <alignment horizontal="left" vertical="center"/>
      <protection hidden="1"/>
    </xf>
    <xf numFmtId="0" fontId="5" fillId="0" borderId="7" xfId="0" applyFont="1" applyBorder="1" applyAlignment="1" applyProtection="1">
      <alignment horizontal="left" vertical="center"/>
      <protection hidden="1"/>
    </xf>
    <xf numFmtId="0" fontId="9" fillId="0" borderId="0" xfId="0" applyFont="1" applyBorder="1" applyAlignment="1" applyProtection="1">
      <alignment horizontal="left" vertical="center" wrapText="1"/>
      <protection hidden="1"/>
    </xf>
    <xf numFmtId="0" fontId="9" fillId="0" borderId="9" xfId="0" applyFont="1" applyBorder="1" applyAlignment="1" applyProtection="1">
      <alignment horizontal="left" vertical="center" wrapText="1"/>
      <protection hidden="1"/>
    </xf>
    <xf numFmtId="0" fontId="4" fillId="0" borderId="8" xfId="0" applyFont="1" applyBorder="1" applyAlignment="1" applyProtection="1">
      <alignment horizontal="left" vertical="center" indent="1"/>
      <protection hidden="1"/>
    </xf>
    <xf numFmtId="0" fontId="4" fillId="0" borderId="0" xfId="0" applyFont="1" applyBorder="1" applyAlignment="1" applyProtection="1">
      <alignment horizontal="left" vertical="center" indent="1"/>
      <protection hidden="1"/>
    </xf>
    <xf numFmtId="0" fontId="4" fillId="0" borderId="0" xfId="0" applyFont="1" applyBorder="1" applyAlignment="1" applyProtection="1">
      <alignment horizontal="left" vertical="center"/>
      <protection hidden="1"/>
    </xf>
    <xf numFmtId="0" fontId="5" fillId="0" borderId="1" xfId="0" applyFont="1" applyBorder="1" applyAlignment="1" applyProtection="1">
      <alignment horizontal="left" vertical="center" indent="1"/>
      <protection hidden="1"/>
    </xf>
    <xf numFmtId="0" fontId="5" fillId="0" borderId="2" xfId="0" applyFont="1" applyBorder="1" applyAlignment="1" applyProtection="1">
      <alignment horizontal="left" vertical="center" indent="1"/>
      <protection hidden="1"/>
    </xf>
    <xf numFmtId="0" fontId="5" fillId="0" borderId="3" xfId="0" applyFont="1" applyBorder="1" applyAlignment="1" applyProtection="1">
      <alignment horizontal="left" vertical="center" indent="1"/>
      <protection hidden="1"/>
    </xf>
    <xf numFmtId="166" fontId="5" fillId="0" borderId="0" xfId="0" applyNumberFormat="1" applyFont="1" applyBorder="1" applyAlignment="1" applyProtection="1">
      <alignment horizontal="left" vertical="center"/>
      <protection hidden="1"/>
    </xf>
    <xf numFmtId="166" fontId="5" fillId="0" borderId="9" xfId="0" applyNumberFormat="1" applyFont="1" applyBorder="1" applyAlignment="1" applyProtection="1">
      <alignment horizontal="left" vertical="center"/>
      <protection hidden="1"/>
    </xf>
    <xf numFmtId="0" fontId="5" fillId="0" borderId="0" xfId="0" applyFont="1" applyBorder="1" applyAlignment="1" applyProtection="1">
      <alignment horizontal="left" vertical="center"/>
      <protection hidden="1"/>
    </xf>
    <xf numFmtId="0" fontId="5" fillId="0" borderId="9" xfId="0" applyFont="1" applyBorder="1" applyAlignment="1" applyProtection="1">
      <alignment horizontal="left" vertical="center"/>
      <protection hidden="1"/>
    </xf>
    <xf numFmtId="0" fontId="5" fillId="0" borderId="5" xfId="0" applyFont="1" applyBorder="1" applyAlignment="1" applyProtection="1">
      <alignment horizontal="center" vertical="center" wrapText="1"/>
      <protection hidden="1"/>
    </xf>
    <xf numFmtId="0" fontId="5" fillId="0" borderId="8" xfId="0" applyFont="1" applyBorder="1" applyAlignment="1" applyProtection="1">
      <alignment horizontal="center" vertical="center" wrapText="1"/>
      <protection hidden="1"/>
    </xf>
    <xf numFmtId="0" fontId="41" fillId="0" borderId="41" xfId="0" applyFont="1" applyBorder="1" applyAlignment="1" applyProtection="1">
      <alignment horizontal="center" vertical="center" wrapText="1"/>
      <protection hidden="1"/>
    </xf>
    <xf numFmtId="0" fontId="41" fillId="0" borderId="18" xfId="0" applyFont="1" applyBorder="1" applyAlignment="1" applyProtection="1">
      <alignment horizontal="center" vertical="center" wrapText="1"/>
      <protection hidden="1"/>
    </xf>
    <xf numFmtId="0" fontId="41" fillId="0" borderId="43" xfId="0" applyFont="1" applyBorder="1" applyAlignment="1" applyProtection="1">
      <alignment horizontal="center" vertical="center" wrapText="1"/>
      <protection hidden="1"/>
    </xf>
    <xf numFmtId="0" fontId="2" fillId="3" borderId="98" xfId="0" applyFont="1" applyFill="1" applyBorder="1" applyAlignment="1" applyProtection="1">
      <alignment horizontal="center" vertical="center" wrapText="1"/>
      <protection locked="0"/>
    </xf>
    <xf numFmtId="0" fontId="2" fillId="3" borderId="68" xfId="0" applyFont="1" applyFill="1" applyBorder="1" applyAlignment="1" applyProtection="1">
      <alignment horizontal="center" vertical="center" wrapText="1"/>
      <protection locked="0"/>
    </xf>
    <xf numFmtId="0" fontId="2" fillId="3" borderId="27" xfId="0" applyFont="1" applyFill="1" applyBorder="1" applyAlignment="1" applyProtection="1">
      <alignment horizontal="center" vertical="center"/>
      <protection locked="0"/>
    </xf>
    <xf numFmtId="0" fontId="2" fillId="3" borderId="32" xfId="0" applyFont="1" applyFill="1" applyBorder="1" applyAlignment="1" applyProtection="1">
      <alignment horizontal="center" vertical="center"/>
      <protection locked="0"/>
    </xf>
    <xf numFmtId="0" fontId="2" fillId="3" borderId="28" xfId="0" applyFont="1" applyFill="1" applyBorder="1" applyAlignment="1" applyProtection="1">
      <alignment horizontal="center" vertical="center"/>
      <protection locked="0"/>
    </xf>
    <xf numFmtId="0" fontId="2" fillId="3" borderId="59" xfId="0" applyFont="1" applyFill="1" applyBorder="1" applyAlignment="1" applyProtection="1">
      <alignment horizontal="center" vertical="center"/>
      <protection locked="0"/>
    </xf>
    <xf numFmtId="0" fontId="2" fillId="3" borderId="27" xfId="0" applyFont="1" applyFill="1" applyBorder="1" applyAlignment="1" applyProtection="1">
      <alignment horizontal="center" vertical="center" textRotation="90" wrapText="1"/>
      <protection locked="0"/>
    </xf>
    <xf numFmtId="0" fontId="2" fillId="3" borderId="32" xfId="0" applyFont="1" applyFill="1" applyBorder="1" applyAlignment="1" applyProtection="1">
      <alignment horizontal="center" vertical="center" textRotation="90" wrapText="1"/>
      <protection locked="0"/>
    </xf>
    <xf numFmtId="0" fontId="2" fillId="0" borderId="41" xfId="0" applyFont="1" applyFill="1" applyBorder="1" applyAlignment="1" applyProtection="1">
      <alignment horizontal="center" vertical="center" wrapText="1"/>
      <protection hidden="1"/>
    </xf>
    <xf numFmtId="0" fontId="2" fillId="0" borderId="18" xfId="0" applyFont="1" applyFill="1" applyBorder="1" applyAlignment="1" applyProtection="1">
      <alignment horizontal="center" vertical="center" wrapText="1"/>
      <protection hidden="1"/>
    </xf>
    <xf numFmtId="0" fontId="2" fillId="0" borderId="43" xfId="0" applyFont="1" applyFill="1" applyBorder="1" applyAlignment="1" applyProtection="1">
      <alignment horizontal="center" vertical="center" wrapText="1"/>
      <protection hidden="1"/>
    </xf>
    <xf numFmtId="0" fontId="20" fillId="3" borderId="89" xfId="0" applyFont="1" applyFill="1" applyBorder="1" applyAlignment="1" applyProtection="1">
      <alignment horizontal="center" vertical="center" wrapText="1" shrinkToFit="1"/>
      <protection locked="0"/>
    </xf>
    <xf numFmtId="0" fontId="20" fillId="3" borderId="90" xfId="0" applyFont="1" applyFill="1" applyBorder="1" applyAlignment="1" applyProtection="1">
      <alignment horizontal="center" vertical="center" wrapText="1" shrinkToFit="1"/>
      <protection locked="0"/>
    </xf>
    <xf numFmtId="0" fontId="2" fillId="3" borderId="91" xfId="0" applyFont="1" applyFill="1" applyBorder="1" applyAlignment="1" applyProtection="1">
      <alignment horizontal="center" vertical="center" wrapText="1" shrinkToFit="1"/>
      <protection locked="0"/>
    </xf>
    <xf numFmtId="0" fontId="2" fillId="3" borderId="92" xfId="0" applyFont="1" applyFill="1" applyBorder="1" applyAlignment="1" applyProtection="1">
      <alignment horizontal="center" vertical="center" wrapText="1" shrinkToFit="1"/>
      <protection locked="0"/>
    </xf>
    <xf numFmtId="0" fontId="21" fillId="3" borderId="41" xfId="0" applyFont="1" applyFill="1" applyBorder="1" applyAlignment="1" applyProtection="1">
      <alignment horizontal="right" vertical="center" indent="1" shrinkToFit="1"/>
      <protection hidden="1"/>
    </xf>
    <xf numFmtId="0" fontId="21" fillId="3" borderId="18" xfId="0" applyFont="1" applyFill="1" applyBorder="1" applyAlignment="1" applyProtection="1">
      <alignment horizontal="right" vertical="center" indent="1" shrinkToFit="1"/>
      <protection hidden="1"/>
    </xf>
    <xf numFmtId="0" fontId="21" fillId="3" borderId="43" xfId="0" applyFont="1" applyFill="1" applyBorder="1" applyAlignment="1" applyProtection="1">
      <alignment horizontal="right" vertical="center" indent="1" shrinkToFit="1"/>
      <protection hidden="1"/>
    </xf>
    <xf numFmtId="0" fontId="20" fillId="3" borderId="91" xfId="0" applyFont="1" applyFill="1" applyBorder="1" applyAlignment="1" applyProtection="1">
      <alignment horizontal="center" vertical="center" wrapText="1" shrinkToFit="1"/>
      <protection locked="0"/>
    </xf>
    <xf numFmtId="0" fontId="20" fillId="3" borderId="92" xfId="0" applyFont="1" applyFill="1" applyBorder="1" applyAlignment="1" applyProtection="1">
      <alignment horizontal="center" vertical="center" wrapText="1" shrinkToFit="1"/>
      <protection locked="0"/>
    </xf>
    <xf numFmtId="0" fontId="2" fillId="3" borderId="41" xfId="0" applyFont="1" applyFill="1" applyBorder="1" applyAlignment="1" applyProtection="1">
      <alignment horizontal="right" vertical="center" indent="1" shrinkToFit="1"/>
      <protection hidden="1"/>
    </xf>
    <xf numFmtId="0" fontId="2" fillId="3" borderId="18" xfId="0" applyFont="1" applyFill="1" applyBorder="1" applyAlignment="1" applyProtection="1">
      <alignment horizontal="right" vertical="center" indent="1" shrinkToFit="1"/>
      <protection hidden="1"/>
    </xf>
    <xf numFmtId="0" fontId="2" fillId="3" borderId="43" xfId="0" applyFont="1" applyFill="1" applyBorder="1" applyAlignment="1" applyProtection="1">
      <alignment horizontal="right" vertical="center" indent="1" shrinkToFit="1"/>
      <protection hidden="1"/>
    </xf>
    <xf numFmtId="0" fontId="29" fillId="0" borderId="0" xfId="0" applyFont="1" applyAlignment="1" applyProtection="1">
      <alignment horizontal="center" vertical="center"/>
      <protection hidden="1"/>
    </xf>
    <xf numFmtId="0" fontId="21" fillId="0" borderId="15" xfId="0" applyFont="1" applyBorder="1" applyAlignment="1" applyProtection="1">
      <alignment horizontal="left" vertical="center"/>
      <protection hidden="1"/>
    </xf>
    <xf numFmtId="0" fontId="2" fillId="3" borderId="29" xfId="0" applyFont="1" applyFill="1" applyBorder="1" applyAlignment="1" applyProtection="1">
      <alignment horizontal="center" vertical="center" textRotation="90" wrapText="1"/>
      <protection locked="0"/>
    </xf>
    <xf numFmtId="0" fontId="2" fillId="3" borderId="33" xfId="0" applyFont="1" applyFill="1" applyBorder="1" applyAlignment="1" applyProtection="1">
      <alignment horizontal="center" vertical="center" textRotation="90" wrapText="1"/>
      <protection locked="0"/>
    </xf>
    <xf numFmtId="0" fontId="2" fillId="3" borderId="29" xfId="0" applyFont="1" applyFill="1" applyBorder="1" applyAlignment="1" applyProtection="1">
      <alignment horizontal="center" vertical="center" textRotation="90"/>
      <protection locked="0"/>
    </xf>
    <xf numFmtId="0" fontId="2" fillId="3" borderId="33" xfId="0" applyFont="1" applyFill="1" applyBorder="1" applyAlignment="1" applyProtection="1">
      <alignment horizontal="center" vertical="center" textRotation="90"/>
      <protection locked="0"/>
    </xf>
    <xf numFmtId="0" fontId="2" fillId="3" borderId="27" xfId="0" applyFont="1" applyFill="1" applyBorder="1" applyAlignment="1" applyProtection="1">
      <alignment horizontal="center" vertical="center" textRotation="90"/>
      <protection locked="0"/>
    </xf>
    <xf numFmtId="0" fontId="2" fillId="3" borderId="32" xfId="0" applyFont="1" applyFill="1" applyBorder="1" applyAlignment="1" applyProtection="1">
      <alignment horizontal="center" vertical="center" textRotation="90"/>
      <protection locked="0"/>
    </xf>
    <xf numFmtId="0" fontId="20" fillId="3" borderId="107" xfId="0" applyFont="1" applyFill="1" applyBorder="1" applyAlignment="1" applyProtection="1">
      <alignment horizontal="center" vertical="center" wrapText="1" shrinkToFit="1"/>
      <protection locked="0"/>
    </xf>
    <xf numFmtId="0" fontId="20" fillId="3" borderId="108" xfId="0" applyFont="1" applyFill="1" applyBorder="1" applyAlignment="1" applyProtection="1">
      <alignment horizontal="center" vertical="center" wrapText="1" shrinkToFit="1"/>
      <protection locked="0"/>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FF99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1</xdr:col>
      <xdr:colOff>19048</xdr:colOff>
      <xdr:row>1</xdr:row>
      <xdr:rowOff>28576</xdr:rowOff>
    </xdr:from>
    <xdr:to>
      <xdr:col>29</xdr:col>
      <xdr:colOff>323849</xdr:colOff>
      <xdr:row>2</xdr:row>
      <xdr:rowOff>247650</xdr:rowOff>
    </xdr:to>
    <xdr:sp macro="" textlink="">
      <xdr:nvSpPr>
        <xdr:cNvPr id="2" name="Rounded Rectangle 1"/>
        <xdr:cNvSpPr/>
      </xdr:nvSpPr>
      <xdr:spPr>
        <a:xfrm>
          <a:off x="152398" y="133351"/>
          <a:ext cx="10172701" cy="5048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IN" sz="3200" b="1" cap="none" spc="50">
              <a:ln w="9525" cmpd="sng">
                <a:solidFill>
                  <a:schemeClr val="accent1"/>
                </a:solidFill>
                <a:prstDash val="solid"/>
              </a:ln>
              <a:solidFill>
                <a:srgbClr val="70AD47">
                  <a:tint val="1000"/>
                </a:srgbClr>
              </a:solidFill>
              <a:effectLst>
                <a:glow rad="38100">
                  <a:schemeClr val="accent1">
                    <a:alpha val="40000"/>
                  </a:schemeClr>
                </a:glow>
              </a:effectLst>
            </a:rPr>
            <a:t>RPS 2020 Fixation www.putta.in</a:t>
          </a:r>
        </a:p>
      </xdr:txBody>
    </xdr:sp>
    <xdr:clientData/>
  </xdr:twoCellAnchor>
  <xdr:twoCellAnchor editAs="oneCell">
    <xdr:from>
      <xdr:col>5</xdr:col>
      <xdr:colOff>38100</xdr:colOff>
      <xdr:row>31</xdr:row>
      <xdr:rowOff>28575</xdr:rowOff>
    </xdr:from>
    <xdr:to>
      <xdr:col>5</xdr:col>
      <xdr:colOff>300185</xdr:colOff>
      <xdr:row>31</xdr:row>
      <xdr:rowOff>228600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839075" y="6705600"/>
          <a:ext cx="262085" cy="200025"/>
        </a:xfrm>
        <a:prstGeom prst="rect">
          <a:avLst/>
        </a:prstGeom>
      </xdr:spPr>
    </xdr:pic>
    <xdr:clientData/>
  </xdr:twoCellAnchor>
  <xdr:twoCellAnchor editAs="oneCell">
    <xdr:from>
      <xdr:col>5</xdr:col>
      <xdr:colOff>28575</xdr:colOff>
      <xdr:row>31</xdr:row>
      <xdr:rowOff>276225</xdr:rowOff>
    </xdr:from>
    <xdr:to>
      <xdr:col>5</xdr:col>
      <xdr:colOff>304799</xdr:colOff>
      <xdr:row>32</xdr:row>
      <xdr:rowOff>266699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rot="537946">
          <a:off x="7829550" y="6953250"/>
          <a:ext cx="276224" cy="276224"/>
        </a:xfrm>
        <a:prstGeom prst="rect">
          <a:avLst/>
        </a:prstGeom>
      </xdr:spPr>
    </xdr:pic>
    <xdr:clientData/>
  </xdr:twoCellAnchor>
  <xdr:twoCellAnchor editAs="oneCell">
    <xdr:from>
      <xdr:col>1</xdr:col>
      <xdr:colOff>9525</xdr:colOff>
      <xdr:row>28</xdr:row>
      <xdr:rowOff>9525</xdr:rowOff>
    </xdr:from>
    <xdr:to>
      <xdr:col>4</xdr:col>
      <xdr:colOff>342900</xdr:colOff>
      <xdr:row>32</xdr:row>
      <xdr:rowOff>276225</xdr:rowOff>
    </xdr:to>
    <xdr:pic>
      <xdr:nvPicPr>
        <xdr:cNvPr id="10" name="Picture 9"/>
        <xdr:cNvPicPr>
          <a:picLocks noChangeAspect="1"/>
        </xdr:cNvPicPr>
      </xdr:nvPicPr>
      <xdr:blipFill>
        <a:blip xmlns:r="http://schemas.openxmlformats.org/officeDocument/2006/relationships" r:embed="rId3">
          <a:extLst>
            <a:ext uri="{28A0092B-C50C-407E-A947-70E740481C1C}">
              <a14:useLocalDpi xmlns:a14="http://schemas.microsoft.com/office/drawing/2010/main" xmlns="" val="0"/>
            </a:ext>
          </a:extLst>
        </a:blip>
        <a:stretch>
          <a:fillRect/>
        </a:stretch>
      </xdr:blipFill>
      <xdr:spPr>
        <a:xfrm>
          <a:off x="142875" y="7829550"/>
          <a:ext cx="1390650" cy="1409700"/>
        </a:xfrm>
        <a:prstGeom prst="rect">
          <a:avLst/>
        </a:prstGeom>
      </xdr:spPr>
    </xdr:pic>
    <xdr:clientData/>
  </xdr:twoCellAnchor>
  <xdr:twoCellAnchor>
    <xdr:from>
      <xdr:col>31</xdr:col>
      <xdr:colOff>47625</xdr:colOff>
      <xdr:row>202</xdr:row>
      <xdr:rowOff>257175</xdr:rowOff>
    </xdr:from>
    <xdr:to>
      <xdr:col>33</xdr:col>
      <xdr:colOff>314325</xdr:colOff>
      <xdr:row>204</xdr:row>
      <xdr:rowOff>9525</xdr:rowOff>
    </xdr:to>
    <xdr:sp macro="" textlink="">
      <xdr:nvSpPr>
        <xdr:cNvPr id="6" name="U-Turn Arrow 5"/>
        <xdr:cNvSpPr/>
      </xdr:nvSpPr>
      <xdr:spPr>
        <a:xfrm>
          <a:off x="10515600" y="57159525"/>
          <a:ext cx="933450" cy="323850"/>
        </a:xfrm>
        <a:prstGeom prst="utur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solidFill>
              <a:schemeClr val="tx1"/>
            </a:solidFill>
          </a:endParaRPr>
        </a:p>
      </xdr:txBody>
    </xdr:sp>
    <xdr:clientData/>
  </xdr:twoCellAnchor>
  <xdr:twoCellAnchor editAs="oneCell">
    <xdr:from>
      <xdr:col>20</xdr:col>
      <xdr:colOff>10900</xdr:colOff>
      <xdr:row>43</xdr:row>
      <xdr:rowOff>2380</xdr:rowOff>
    </xdr:from>
    <xdr:to>
      <xdr:col>30</xdr:col>
      <xdr:colOff>3572</xdr:colOff>
      <xdr:row>52</xdr:row>
      <xdr:rowOff>0</xdr:rowOff>
    </xdr:to>
    <xdr:pic>
      <xdr:nvPicPr>
        <xdr:cNvPr id="8" name="Picture 7"/>
        <xdr:cNvPicPr>
          <a:picLocks noChangeAspect="1"/>
        </xdr:cNvPicPr>
      </xdr:nvPicPr>
      <xdr:blipFill>
        <a:blip xmlns:r="http://schemas.openxmlformats.org/officeDocument/2006/relationships" r:embed="rId4">
          <a:extLst>
            <a:ext uri="{28A0092B-C50C-407E-A947-70E740481C1C}">
              <a14:useLocalDpi xmlns:a14="http://schemas.microsoft.com/office/drawing/2010/main" xmlns="" val="0"/>
            </a:ext>
          </a:extLst>
        </a:blip>
        <a:stretch>
          <a:fillRect/>
        </a:stretch>
      </xdr:blipFill>
      <xdr:spPr>
        <a:xfrm>
          <a:off x="6815322" y="12509896"/>
          <a:ext cx="3505016" cy="2569370"/>
        </a:xfrm>
        <a:prstGeom prst="rect">
          <a:avLst/>
        </a:prstGeom>
      </xdr:spPr>
    </xdr:pic>
    <xdr:clientData/>
  </xdr:twoCellAnchor>
  <xdr:twoCellAnchor editAs="oneCell">
    <xdr:from>
      <xdr:col>1</xdr:col>
      <xdr:colOff>9526</xdr:colOff>
      <xdr:row>18</xdr:row>
      <xdr:rowOff>0</xdr:rowOff>
    </xdr:from>
    <xdr:to>
      <xdr:col>16</xdr:col>
      <xdr:colOff>333375</xdr:colOff>
      <xdr:row>19</xdr:row>
      <xdr:rowOff>0</xdr:rowOff>
    </xdr:to>
    <xdr:pic>
      <xdr:nvPicPr>
        <xdr:cNvPr id="7" name="Picture 6"/>
        <xdr:cNvPicPr>
          <a:picLocks noChangeAspect="1"/>
        </xdr:cNvPicPr>
      </xdr:nvPicPr>
      <xdr:blipFill>
        <a:blip xmlns:r="http://schemas.openxmlformats.org/officeDocument/2006/relationships" r:embed="rId5">
          <a:extLst>
            <a:ext uri="{28A0092B-C50C-407E-A947-70E740481C1C}">
              <a14:useLocalDpi xmlns:a14="http://schemas.microsoft.com/office/drawing/2010/main" xmlns="" val="0"/>
            </a:ext>
          </a:extLst>
        </a:blip>
        <a:stretch>
          <a:fillRect/>
        </a:stretch>
      </xdr:blipFill>
      <xdr:spPr>
        <a:xfrm>
          <a:off x="142876" y="4962525"/>
          <a:ext cx="5610224" cy="381000"/>
        </a:xfrm>
        <a:prstGeom prst="rect">
          <a:avLst/>
        </a:prstGeom>
      </xdr:spPr>
    </xdr:pic>
    <xdr:clientData/>
  </xdr:twoCellAnchor>
  <xdr:twoCellAnchor editAs="oneCell">
    <xdr:from>
      <xdr:col>1</xdr:col>
      <xdr:colOff>9525</xdr:colOff>
      <xdr:row>36</xdr:row>
      <xdr:rowOff>9524</xdr:rowOff>
    </xdr:from>
    <xdr:to>
      <xdr:col>16</xdr:col>
      <xdr:colOff>344366</xdr:colOff>
      <xdr:row>36</xdr:row>
      <xdr:rowOff>300403</xdr:rowOff>
    </xdr:to>
    <xdr:pic>
      <xdr:nvPicPr>
        <xdr:cNvPr id="11" name="Picture 10"/>
        <xdr:cNvPicPr>
          <a:picLocks noChangeAspect="1"/>
        </xdr:cNvPicPr>
      </xdr:nvPicPr>
      <xdr:blipFill>
        <a:blip xmlns:r="http://schemas.openxmlformats.org/officeDocument/2006/relationships" r:embed="rId6">
          <a:extLst>
            <a:ext uri="{28A0092B-C50C-407E-A947-70E740481C1C}">
              <a14:useLocalDpi xmlns:a14="http://schemas.microsoft.com/office/drawing/2010/main" xmlns="" val="0"/>
            </a:ext>
          </a:extLst>
        </a:blip>
        <a:stretch>
          <a:fillRect/>
        </a:stretch>
      </xdr:blipFill>
      <xdr:spPr>
        <a:xfrm>
          <a:off x="141410" y="10399101"/>
          <a:ext cx="5610225" cy="290879"/>
        </a:xfrm>
        <a:prstGeom prst="rect">
          <a:avLst/>
        </a:prstGeom>
      </xdr:spPr>
    </xdr:pic>
    <xdr:clientData/>
  </xdr:twoCellAnchor>
  <xdr:twoCellAnchor editAs="oneCell">
    <xdr:from>
      <xdr:col>18</xdr:col>
      <xdr:colOff>9526</xdr:colOff>
      <xdr:row>3</xdr:row>
      <xdr:rowOff>9526</xdr:rowOff>
    </xdr:from>
    <xdr:to>
      <xdr:col>29</xdr:col>
      <xdr:colOff>342900</xdr:colOff>
      <xdr:row>8</xdr:row>
      <xdr:rowOff>276226</xdr:rowOff>
    </xdr:to>
    <xdr:pic>
      <xdr:nvPicPr>
        <xdr:cNvPr id="9" name="Picture 8"/>
        <xdr:cNvPicPr>
          <a:picLocks noChangeAspect="1"/>
        </xdr:cNvPicPr>
      </xdr:nvPicPr>
      <xdr:blipFill>
        <a:blip xmlns:r="http://schemas.openxmlformats.org/officeDocument/2006/relationships" r:embed="rId7">
          <a:extLst>
            <a:ext uri="{28A0092B-C50C-407E-A947-70E740481C1C}">
              <a14:useLocalDpi xmlns:a14="http://schemas.microsoft.com/office/drawing/2010/main" xmlns="" val="0"/>
            </a:ext>
          </a:extLst>
        </a:blip>
        <a:stretch>
          <a:fillRect/>
        </a:stretch>
      </xdr:blipFill>
      <xdr:spPr>
        <a:xfrm>
          <a:off x="6134101" y="685801"/>
          <a:ext cx="4210049" cy="1695450"/>
        </a:xfrm>
        <a:prstGeom prst="rect">
          <a:avLst/>
        </a:prstGeom>
      </xdr:spPr>
    </xdr:pic>
    <xdr:clientData/>
  </xdr:twoCellAnchor>
  <xdr:twoCellAnchor editAs="oneCell">
    <xdr:from>
      <xdr:col>18</xdr:col>
      <xdr:colOff>9524</xdr:colOff>
      <xdr:row>33</xdr:row>
      <xdr:rowOff>10884</xdr:rowOff>
    </xdr:from>
    <xdr:to>
      <xdr:col>29</xdr:col>
      <xdr:colOff>342899</xdr:colOff>
      <xdr:row>38</xdr:row>
      <xdr:rowOff>276224</xdr:rowOff>
    </xdr:to>
    <xdr:pic>
      <xdr:nvPicPr>
        <xdr:cNvPr id="21" name="Picture 20"/>
        <xdr:cNvPicPr>
          <a:picLocks noChangeAspect="1"/>
        </xdr:cNvPicPr>
      </xdr:nvPicPr>
      <xdr:blipFill>
        <a:blip xmlns:r="http://schemas.openxmlformats.org/officeDocument/2006/relationships" r:embed="rId8">
          <a:extLst>
            <a:ext uri="{28A0092B-C50C-407E-A947-70E740481C1C}">
              <a14:useLocalDpi xmlns:a14="http://schemas.microsoft.com/office/drawing/2010/main" xmlns="" val="0"/>
            </a:ext>
          </a:extLst>
        </a:blip>
        <a:stretch>
          <a:fillRect/>
        </a:stretch>
      </xdr:blipFill>
      <xdr:spPr>
        <a:xfrm>
          <a:off x="6159953" y="9437913"/>
          <a:ext cx="4225017" cy="1925411"/>
        </a:xfrm>
        <a:prstGeom prst="rect">
          <a:avLst/>
        </a:prstGeom>
      </xdr:spPr>
    </xdr:pic>
    <xdr:clientData/>
  </xdr:twoCellAnchor>
  <xdr:twoCellAnchor>
    <xdr:from>
      <xdr:col>14</xdr:col>
      <xdr:colOff>200025</xdr:colOff>
      <xdr:row>19</xdr:row>
      <xdr:rowOff>28575</xdr:rowOff>
    </xdr:from>
    <xdr:to>
      <xdr:col>14</xdr:col>
      <xdr:colOff>323850</xdr:colOff>
      <xdr:row>19</xdr:row>
      <xdr:rowOff>152400</xdr:rowOff>
    </xdr:to>
    <xdr:sp macro="" textlink="">
      <xdr:nvSpPr>
        <xdr:cNvPr id="12" name="Right Arrow 11"/>
        <xdr:cNvSpPr/>
      </xdr:nvSpPr>
      <xdr:spPr>
        <a:xfrm>
          <a:off x="4914900" y="5372100"/>
          <a:ext cx="123825" cy="123825"/>
        </a:xfrm>
        <a:prstGeom prst="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n-IN" sz="1100"/>
        </a:p>
      </xdr:txBody>
    </xdr:sp>
    <xdr:clientData/>
  </xdr:twoCellAnchor>
  <xdr:twoCellAnchor editAs="oneCell">
    <xdr:from>
      <xdr:col>20</xdr:col>
      <xdr:colOff>19050</xdr:colOff>
      <xdr:row>39</xdr:row>
      <xdr:rowOff>9525</xdr:rowOff>
    </xdr:from>
    <xdr:to>
      <xdr:col>29</xdr:col>
      <xdr:colOff>333375</xdr:colOff>
      <xdr:row>42</xdr:row>
      <xdr:rowOff>342900</xdr:rowOff>
    </xdr:to>
    <xdr:pic>
      <xdr:nvPicPr>
        <xdr:cNvPr id="14" name="Picture 13"/>
        <xdr:cNvPicPr>
          <a:picLocks noChangeAspect="1"/>
        </xdr:cNvPicPr>
      </xdr:nvPicPr>
      <xdr:blipFill>
        <a:blip xmlns:r="http://schemas.openxmlformats.org/officeDocument/2006/relationships" r:embed="rId9">
          <a:extLst>
            <a:ext uri="{28A0092B-C50C-407E-A947-70E740481C1C}">
              <a14:useLocalDpi xmlns:a14="http://schemas.microsoft.com/office/drawing/2010/main" xmlns="" val="0"/>
            </a:ext>
          </a:extLst>
        </a:blip>
        <a:stretch>
          <a:fillRect/>
        </a:stretch>
      </xdr:blipFill>
      <xdr:spPr>
        <a:xfrm>
          <a:off x="6848475" y="11287125"/>
          <a:ext cx="3486150" cy="119062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2</xdr:col>
      <xdr:colOff>255052</xdr:colOff>
      <xdr:row>42</xdr:row>
      <xdr:rowOff>33879</xdr:rowOff>
    </xdr:from>
    <xdr:to>
      <xdr:col>20</xdr:col>
      <xdr:colOff>161882</xdr:colOff>
      <xdr:row>42</xdr:row>
      <xdr:rowOff>359620</xdr:rowOff>
    </xdr:to>
    <xdr:grpSp>
      <xdr:nvGrpSpPr>
        <xdr:cNvPr id="20" name="Group 19"/>
        <xdr:cNvGrpSpPr/>
      </xdr:nvGrpSpPr>
      <xdr:grpSpPr>
        <a:xfrm>
          <a:off x="740827" y="12168729"/>
          <a:ext cx="6250480" cy="325741"/>
          <a:chOff x="740827" y="12168729"/>
          <a:chExt cx="6250480" cy="325741"/>
        </a:xfrm>
        <a:solidFill>
          <a:srgbClr val="FF0000"/>
        </a:solidFill>
        <a:scene3d>
          <a:camera prst="orthographicFront">
            <a:rot lat="0" lon="0" rev="0"/>
          </a:camera>
          <a:lightRig rig="balanced" dir="t">
            <a:rot lat="0" lon="0" rev="8700000"/>
          </a:lightRig>
        </a:scene3d>
      </xdr:grpSpPr>
      <xdr:sp macro="" textlink="">
        <xdr:nvSpPr>
          <xdr:cNvPr id="15" name="Down Arrow 14"/>
          <xdr:cNvSpPr/>
        </xdr:nvSpPr>
        <xdr:spPr>
          <a:xfrm rot="2917284">
            <a:off x="758897" y="12276339"/>
            <a:ext cx="200061" cy="236201"/>
          </a:xfrm>
          <a:prstGeom prst="downArrow">
            <a:avLst/>
          </a:prstGeom>
          <a:grpFill/>
          <a:ln>
            <a:noFill/>
          </a:ln>
          <a:effectLst>
            <a:outerShdw blurRad="44450" dist="27940" dir="5400000" algn="ctr">
              <a:srgbClr val="000000">
                <a:alpha val="32000"/>
              </a:srgbClr>
            </a:outerShdw>
          </a:effectLst>
          <a:sp3d>
            <a:bevelT w="190500" h="38100"/>
          </a:sp3d>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IN" sz="1100"/>
          </a:p>
        </xdr:txBody>
      </xdr:sp>
      <xdr:grpSp>
        <xdr:nvGrpSpPr>
          <xdr:cNvPr id="17" name="Group 16"/>
          <xdr:cNvGrpSpPr/>
        </xdr:nvGrpSpPr>
        <xdr:grpSpPr>
          <a:xfrm>
            <a:off x="885825" y="12168729"/>
            <a:ext cx="6105482" cy="232821"/>
            <a:chOff x="466725" y="12225879"/>
            <a:chExt cx="6105482" cy="232821"/>
          </a:xfrm>
          <a:grpFill/>
        </xdr:grpSpPr>
        <xdr:sp macro="" textlink="">
          <xdr:nvSpPr>
            <xdr:cNvPr id="18" name="Down Arrow 17"/>
            <xdr:cNvSpPr/>
          </xdr:nvSpPr>
          <xdr:spPr>
            <a:xfrm rot="14045346">
              <a:off x="6357311" y="12238934"/>
              <a:ext cx="227952" cy="201841"/>
            </a:xfrm>
            <a:prstGeom prst="downArrow">
              <a:avLst/>
            </a:prstGeom>
            <a:grpFill/>
            <a:ln>
              <a:noFill/>
            </a:ln>
            <a:effectLst>
              <a:outerShdw blurRad="44450" dist="27940" dir="5400000" algn="ctr">
                <a:srgbClr val="000000">
                  <a:alpha val="32000"/>
                </a:srgbClr>
              </a:outerShdw>
            </a:effectLst>
            <a:sp3d>
              <a:bevelT w="190500" h="38100"/>
            </a:sp3d>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IN" sz="1100"/>
            </a:p>
          </xdr:txBody>
        </xdr:sp>
        <xdr:sp macro="" textlink="">
          <xdr:nvSpPr>
            <xdr:cNvPr id="16" name="Pentagon 15"/>
            <xdr:cNvSpPr/>
          </xdr:nvSpPr>
          <xdr:spPr>
            <a:xfrm>
              <a:off x="466725" y="12344400"/>
              <a:ext cx="6029326" cy="114300"/>
            </a:xfrm>
            <a:prstGeom prst="homePlate">
              <a:avLst/>
            </a:prstGeom>
            <a:grpFill/>
            <a:ln>
              <a:noFill/>
            </a:ln>
            <a:effectLst>
              <a:outerShdw blurRad="44450" dist="27940" dir="5400000" algn="ctr">
                <a:srgbClr val="000000">
                  <a:alpha val="32000"/>
                </a:srgbClr>
              </a:outerShdw>
            </a:effectLst>
            <a:sp3d>
              <a:bevelT w="190500" h="38100"/>
            </a:sp3d>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IN" sz="1100"/>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228600</xdr:colOff>
      <xdr:row>6</xdr:row>
      <xdr:rowOff>0</xdr:rowOff>
    </xdr:from>
    <xdr:to>
      <xdr:col>10</xdr:col>
      <xdr:colOff>9525</xdr:colOff>
      <xdr:row>9</xdr:row>
      <xdr:rowOff>333375</xdr:rowOff>
    </xdr:to>
    <xdr:sp macro="" textlink="">
      <xdr:nvSpPr>
        <xdr:cNvPr id="2" name="Line 1"/>
        <xdr:cNvSpPr>
          <a:spLocks noChangeShapeType="1"/>
        </xdr:cNvSpPr>
      </xdr:nvSpPr>
      <xdr:spPr bwMode="auto">
        <a:xfrm>
          <a:off x="1066800" y="1866900"/>
          <a:ext cx="1438275" cy="876300"/>
        </a:xfrm>
        <a:prstGeom prst="line">
          <a:avLst/>
        </a:prstGeom>
        <a:noFill/>
        <a:ln w="19050">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6</xdr:row>
      <xdr:rowOff>0</xdr:rowOff>
    </xdr:from>
    <xdr:to>
      <xdr:col>18</xdr:col>
      <xdr:colOff>57150</xdr:colOff>
      <xdr:row>9</xdr:row>
      <xdr:rowOff>333375</xdr:rowOff>
    </xdr:to>
    <xdr:sp macro="" textlink="">
      <xdr:nvSpPr>
        <xdr:cNvPr id="3" name="Line 3"/>
        <xdr:cNvSpPr>
          <a:spLocks noChangeShapeType="1"/>
        </xdr:cNvSpPr>
      </xdr:nvSpPr>
      <xdr:spPr bwMode="auto">
        <a:xfrm>
          <a:off x="3324225" y="1866900"/>
          <a:ext cx="1438275" cy="876300"/>
        </a:xfrm>
        <a:prstGeom prst="line">
          <a:avLst/>
        </a:prstGeom>
        <a:noFill/>
        <a:ln w="19050">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PS%202015/TRPS_Tchers-5.1_NEW%20D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
      <sheetName val="Proceeding"/>
      <sheetName val="Option"/>
      <sheetName val="Appendix"/>
      <sheetName val="Annexure"/>
      <sheetName val="Part I&amp;II "/>
      <sheetName val="Form 47"/>
      <sheetName val="Part III"/>
      <sheetName val="F47"/>
      <sheetName val="Schedules"/>
      <sheetName val="Data."/>
    </sheetNames>
    <sheetDataSet>
      <sheetData sheetId="0">
        <row r="5">
          <cell r="K5">
            <v>0</v>
          </cell>
        </row>
      </sheetData>
      <sheetData sheetId="1" refreshError="1"/>
      <sheetData sheetId="2" refreshError="1"/>
      <sheetData sheetId="3" refreshError="1"/>
      <sheetData sheetId="4" refreshError="1"/>
      <sheetData sheetId="5">
        <row r="29">
          <cell r="AC29">
            <v>216</v>
          </cell>
        </row>
      </sheetData>
      <sheetData sheetId="6" refreshError="1"/>
      <sheetData sheetId="7" refreshError="1"/>
      <sheetData sheetId="8" refreshError="1"/>
      <sheetData sheetId="9" refreshError="1"/>
      <sheetData sheetId="10">
        <row r="13">
          <cell r="I13">
            <v>0</v>
          </cell>
        </row>
      </sheetData>
    </sheetDataSet>
  </externalBook>
</externalLink>
</file>

<file path=xl/revisions/_rels/revisionHeaders.xml.rels><?xml version="1.0" encoding="UTF-8" standalone="yes"?>
<Relationships xmlns="http://schemas.openxmlformats.org/package/2006/relationships"><Relationship Id="rId3" Type="http://schemas.openxmlformats.org/officeDocument/2006/relationships/revisionLog" Target="revisionLog1.xml"/><Relationship Id="rId2" Type="http://schemas.openxmlformats.org/officeDocument/2006/relationships/revisionLog" Target="revisionLog2.xml"/><Relationship Id="rId1" Type="http://schemas.openxmlformats.org/officeDocument/2006/relationships/revisionLog" Target="revisionLog11.xml"/></Relationships>
</file>

<file path=xl/revisions/revisionHeaders.xml><?xml version="1.0" encoding="utf-8"?>
<headers xmlns="http://schemas.openxmlformats.org/spreadsheetml/2006/main" xmlns:r="http://schemas.openxmlformats.org/officeDocument/2006/relationships" guid="{BA3CC697-BF8A-43B4-ACA0-62752A4BFB14}" diskRevisions="1" revisionId="31" version="2" protected="1">
  <header guid="{14DAA6D1-C9CA-478D-86DC-03E5BD06327B}" dateTime="2021-06-15T17:06:59" maxSheetId="7" userName="putta" r:id="rId1">
    <sheetIdMap count="6">
      <sheetId val="1"/>
      <sheetId val="2"/>
      <sheetId val="3"/>
      <sheetId val="4"/>
      <sheetId val="5"/>
      <sheetId val="6"/>
    </sheetIdMap>
  </header>
  <header guid="{2B978DB7-2350-4F7A-9FA5-CB6BC3966669}" dateTime="2021-06-15T17:13:25" maxSheetId="7" userName="putta" r:id="rId2" minRId="1">
    <sheetIdMap count="6">
      <sheetId val="1"/>
      <sheetId val="2"/>
      <sheetId val="3"/>
      <sheetId val="4"/>
      <sheetId val="5"/>
      <sheetId val="6"/>
    </sheetIdMap>
  </header>
  <header guid="{BA3CC697-BF8A-43B4-ACA0-62752A4BFB14}" dateTime="2021-06-16T20:33:30" maxSheetId="7" userName="yser" r:id="rId3">
    <sheetIdMap count="6">
      <sheetId val="1"/>
      <sheetId val="2"/>
      <sheetId val="3"/>
      <sheetId val="4"/>
      <sheetId val="5"/>
      <sheetId val="6"/>
    </sheetIdMap>
  </header>
</headers>
</file>

<file path=xl/revisions/revisionLog1.xml><?xml version="1.0" encoding="utf-8"?>
<revisions xmlns="http://schemas.openxmlformats.org/spreadsheetml/2006/main" xmlns:r="http://schemas.openxmlformats.org/officeDocument/2006/relationships">
  <rdn rId="0" localSheetId="1" customView="1" name="Z_F60E2261_838F_4117_A98D_7C5CFDCC0021_.wvu.Rows" hidden="1" oldHidden="1">
    <formula>Data!$304:$1048576,Data!$54:$303</formula>
  </rdn>
  <rdn rId="0" localSheetId="1" customView="1" name="Z_F60E2261_838F_4117_A98D_7C5CFDCC0021_.wvu.Cols" hidden="1" oldHidden="1">
    <formula>Data!$AF:$XFD</formula>
  </rdn>
  <rdn rId="0" localSheetId="2" customView="1" name="Z_F60E2261_838F_4117_A98D_7C5CFDCC0021_.wvu.Rows" hidden="1" oldHidden="1">
    <formula>Proceeding!$53:$1048576,Proceeding!$45:$49</formula>
  </rdn>
  <rdn rId="0" localSheetId="2" customView="1" name="Z_F60E2261_838F_4117_A98D_7C5CFDCC0021_.wvu.Cols" hidden="1" oldHidden="1">
    <formula>Proceeding!$O:$XFD</formula>
  </rdn>
  <rdn rId="0" localSheetId="3" customView="1" name="Z_F60E2261_838F_4117_A98D_7C5CFDCC0021_.wvu.PrintArea" hidden="1" oldHidden="1">
    <formula>Option!$B$1:$X$38</formula>
  </rdn>
  <rdn rId="0" localSheetId="3" customView="1" name="Z_F60E2261_838F_4117_A98D_7C5CFDCC0021_.wvu.Rows" hidden="1" oldHidden="1">
    <formula>Option!$44:$1048576,Option!$39:$43</formula>
  </rdn>
  <rdn rId="0" localSheetId="3" customView="1" name="Z_F60E2261_838F_4117_A98D_7C5CFDCC0021_.wvu.Cols" hidden="1" oldHidden="1">
    <formula>Option!$Y:$XFD</formula>
  </rdn>
  <rdn rId="0" localSheetId="4" customView="1" name="Z_F60E2261_838F_4117_A98D_7C5CFDCC0021_.wvu.PrintArea" hidden="1" oldHidden="1">
    <formula>Appendix!$B$1:$V$108</formula>
  </rdn>
  <rdn rId="0" localSheetId="4" customView="1" name="Z_F60E2261_838F_4117_A98D_7C5CFDCC0021_.wvu.Rows" hidden="1" oldHidden="1">
    <formula>Appendix!$136:$1048576,Appendix!$109:$131</formula>
  </rdn>
  <rdn rId="0" localSheetId="4" customView="1" name="Z_F60E2261_838F_4117_A98D_7C5CFDCC0021_.wvu.Cols" hidden="1" oldHidden="1">
    <formula>Appendix!$X:$XFD</formula>
  </rdn>
  <rdn rId="0" localSheetId="5" customView="1" name="Z_F60E2261_838F_4117_A98D_7C5CFDCC0021_.wvu.Rows" hidden="1" oldHidden="1">
    <formula>Annexures!$38:$1048576,Annexures!$37:$37</formula>
  </rdn>
  <rdn rId="0" localSheetId="5" customView="1" name="Z_F60E2261_838F_4117_A98D_7C5CFDCC0021_.wvu.Cols" hidden="1" oldHidden="1">
    <formula>Annexures!$G:$XFD</formula>
  </rdn>
  <rdn rId="0" localSheetId="6" customView="1" name="Z_F60E2261_838F_4117_A98D_7C5CFDCC0021_.wvu.PrintTitles" hidden="1" oldHidden="1">
    <formula>Difference!$3:$4</formula>
  </rdn>
  <rdn rId="0" localSheetId="6" customView="1" name="Z_F60E2261_838F_4117_A98D_7C5CFDCC0021_.wvu.Rows" hidden="1" oldHidden="1">
    <formula>Difference!$90:$1048576</formula>
  </rdn>
  <rdn rId="0" localSheetId="6" customView="1" name="Z_F60E2261_838F_4117_A98D_7C5CFDCC0021_.wvu.Cols" hidden="1" oldHidden="1">
    <formula>Difference!$AR:$XFD</formula>
  </rdn>
  <rcv guid="{F60E2261-838F-4117-A98D-7C5CFDCC0021}"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P21">
      <v>23740</v>
    </oc>
    <nc r="P21">
      <v>34170</v>
    </nc>
  </rcc>
  <rcv guid="{5633FAF7-B486-4D0B-84AB-497A2BE1B953}" action="delete"/>
  <rdn rId="0" localSheetId="1" customView="1" name="Z_5633FAF7_B486_4D0B_84AB_497A2BE1B953_.wvu.Rows" hidden="1" oldHidden="1">
    <formula>Data!$304:$1048576,Data!$54:$303</formula>
    <oldFormula>Data!$304:$1048576,Data!$54:$303</oldFormula>
  </rdn>
  <rdn rId="0" localSheetId="1" customView="1" name="Z_5633FAF7_B486_4D0B_84AB_497A2BE1B953_.wvu.Cols" hidden="1" oldHidden="1">
    <formula>Data!$AF:$XFD</formula>
    <oldFormula>Data!$AF:$XFD</oldFormula>
  </rdn>
  <rdn rId="0" localSheetId="2" customView="1" name="Z_5633FAF7_B486_4D0B_84AB_497A2BE1B953_.wvu.Rows" hidden="1" oldHidden="1">
    <formula>Proceeding!$53:$1048576,Proceeding!$45:$49</formula>
    <oldFormula>Proceeding!$53:$1048576,Proceeding!$45:$49</oldFormula>
  </rdn>
  <rdn rId="0" localSheetId="2" customView="1" name="Z_5633FAF7_B486_4D0B_84AB_497A2BE1B953_.wvu.Cols" hidden="1" oldHidden="1">
    <formula>Proceeding!$O:$XFD</formula>
    <oldFormula>Proceeding!$O:$XFD</oldFormula>
  </rdn>
  <rdn rId="0" localSheetId="3" customView="1" name="Z_5633FAF7_B486_4D0B_84AB_497A2BE1B953_.wvu.PrintArea" hidden="1" oldHidden="1">
    <formula>Option!$B$1:$X$38</formula>
    <oldFormula>Option!$B$1:$X$38</oldFormula>
  </rdn>
  <rdn rId="0" localSheetId="3" customView="1" name="Z_5633FAF7_B486_4D0B_84AB_497A2BE1B953_.wvu.Rows" hidden="1" oldHidden="1">
    <formula>Option!$44:$1048576,Option!$39:$43</formula>
    <oldFormula>Option!$44:$1048576,Option!$39:$43</oldFormula>
  </rdn>
  <rdn rId="0" localSheetId="3" customView="1" name="Z_5633FAF7_B486_4D0B_84AB_497A2BE1B953_.wvu.Cols" hidden="1" oldHidden="1">
    <formula>Option!$Y:$XFD</formula>
    <oldFormula>Option!$Y:$XFD</oldFormula>
  </rdn>
  <rdn rId="0" localSheetId="4" customView="1" name="Z_5633FAF7_B486_4D0B_84AB_497A2BE1B953_.wvu.PrintArea" hidden="1" oldHidden="1">
    <formula>Appendix!$B$1:$V$108</formula>
    <oldFormula>Appendix!$B$1:$V$108</oldFormula>
  </rdn>
  <rdn rId="0" localSheetId="4" customView="1" name="Z_5633FAF7_B486_4D0B_84AB_497A2BE1B953_.wvu.Rows" hidden="1" oldHidden="1">
    <formula>Appendix!$136:$1048576,Appendix!$109:$131</formula>
    <oldFormula>Appendix!$136:$1048576,Appendix!$109:$131</oldFormula>
  </rdn>
  <rdn rId="0" localSheetId="4" customView="1" name="Z_5633FAF7_B486_4D0B_84AB_497A2BE1B953_.wvu.Cols" hidden="1" oldHidden="1">
    <formula>Appendix!$X:$XFD</formula>
    <oldFormula>Appendix!$X:$XFD</oldFormula>
  </rdn>
  <rdn rId="0" localSheetId="5" customView="1" name="Z_5633FAF7_B486_4D0B_84AB_497A2BE1B953_.wvu.Rows" hidden="1" oldHidden="1">
    <formula>Annexures!$38:$1048576,Annexures!$37:$37</formula>
    <oldFormula>Annexures!$38:$1048576,Annexures!$37:$37</oldFormula>
  </rdn>
  <rdn rId="0" localSheetId="5" customView="1" name="Z_5633FAF7_B486_4D0B_84AB_497A2BE1B953_.wvu.Cols" hidden="1" oldHidden="1">
    <formula>Annexures!$G:$XFD</formula>
    <oldFormula>Annexures!$G:$XFD</oldFormula>
  </rdn>
  <rdn rId="0" localSheetId="6" customView="1" name="Z_5633FAF7_B486_4D0B_84AB_497A2BE1B953_.wvu.PrintTitles" hidden="1" oldHidden="1">
    <formula>Difference!$3:$4</formula>
    <oldFormula>Difference!$3:$4</oldFormula>
  </rdn>
  <rdn rId="0" localSheetId="6" customView="1" name="Z_5633FAF7_B486_4D0B_84AB_497A2BE1B953_.wvu.Rows" hidden="1" oldHidden="1">
    <formula>Difference!$90:$1048576</formula>
    <oldFormula>Difference!$90:$1048576</oldFormula>
  </rdn>
  <rdn rId="0" localSheetId="6" customView="1" name="Z_5633FAF7_B486_4D0B_84AB_497A2BE1B953_.wvu.Cols" hidden="1" oldHidden="1">
    <formula>Difference!$AR:$XFD</formula>
    <oldFormula>Difference!$AR:$XFD</oldFormula>
  </rdn>
  <rcv guid="{5633FAF7-B486-4D0B-84AB-497A2BE1B953}" action="add"/>
</revisions>
</file>

<file path=xl/revisions/userNames.xml><?xml version="1.0" encoding="utf-8"?>
<users xmlns="http://schemas.openxmlformats.org/spreadsheetml/2006/main" xmlns:r="http://schemas.openxmlformats.org/officeDocument/2006/relationships"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cnureddyputta@gmail.com" TargetMode="External"/><Relationship Id="rId7"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putta.in/" TargetMode="External"/><Relationship Id="rId5" Type="http://schemas.openxmlformats.org/officeDocument/2006/relationships/hyperlink" Target="http://www.putta.in/" TargetMode="External"/><Relationship Id="rId4" Type="http://schemas.openxmlformats.org/officeDocument/2006/relationships/hyperlink" Target="http://www.putta.in/"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sheetPr codeName="Sheet1">
    <tabColor rgb="FF00B050"/>
  </sheetPr>
  <dimension ref="A1:CM303"/>
  <sheetViews>
    <sheetView showGridLines="0" showRowColHeaders="0" tabSelected="1" workbookViewId="0">
      <selection activeCell="I4" sqref="I4:Q4"/>
    </sheetView>
  </sheetViews>
  <sheetFormatPr defaultColWidth="0" defaultRowHeight="22.5" customHeight="1" zeroHeight="1"/>
  <cols>
    <col min="1" max="1" width="2" style="32" customWidth="1"/>
    <col min="2" max="30" width="5.28515625" style="33" customWidth="1"/>
    <col min="31" max="31" width="1.7109375" style="32" customWidth="1"/>
    <col min="32" max="35" width="5" style="33" hidden="1" customWidth="1"/>
    <col min="36" max="36" width="6.28515625" style="33" hidden="1" customWidth="1"/>
    <col min="37" max="37" width="10.140625" style="33" hidden="1" customWidth="1"/>
    <col min="38" max="38" width="11.140625" style="33" hidden="1" customWidth="1"/>
    <col min="39" max="40" width="10.140625" style="33" hidden="1" customWidth="1"/>
    <col min="41" max="41" width="9.85546875" style="33" hidden="1" customWidth="1"/>
    <col min="42" max="42" width="9.7109375" style="33" hidden="1" customWidth="1"/>
    <col min="43" max="43" width="11.140625" style="33" hidden="1" customWidth="1"/>
    <col min="44" max="44" width="11.5703125" style="33" hidden="1" customWidth="1"/>
    <col min="45" max="45" width="9.140625" style="33" hidden="1" customWidth="1"/>
    <col min="46" max="47" width="10.140625" style="33" hidden="1" customWidth="1"/>
    <col min="48" max="48" width="11" style="33" hidden="1" customWidth="1"/>
    <col min="49" max="49" width="9.140625" style="33" hidden="1" customWidth="1"/>
    <col min="50" max="50" width="12.7109375" style="33" hidden="1" customWidth="1"/>
    <col min="51" max="51" width="9.5703125" style="33" hidden="1" customWidth="1"/>
    <col min="52" max="52" width="10.5703125" style="33" hidden="1" customWidth="1"/>
    <col min="53" max="55" width="9.140625" style="33" hidden="1" customWidth="1"/>
    <col min="56" max="56" width="10.140625" style="33" hidden="1" customWidth="1"/>
    <col min="57" max="57" width="10" style="33" hidden="1" customWidth="1"/>
    <col min="58" max="58" width="9.140625" style="33" hidden="1" customWidth="1"/>
    <col min="59" max="59" width="10.7109375" style="33" hidden="1" customWidth="1"/>
    <col min="60" max="60" width="9.140625" style="33" hidden="1" customWidth="1"/>
    <col min="61" max="61" width="13.28515625" style="33" hidden="1" customWidth="1"/>
    <col min="62" max="63" width="9.140625" style="33" hidden="1" customWidth="1"/>
    <col min="64" max="64" width="10.140625" style="33" hidden="1" customWidth="1"/>
    <col min="65" max="65" width="9.140625" style="33" hidden="1" customWidth="1"/>
    <col min="66" max="66" width="12.28515625" style="33" hidden="1" customWidth="1"/>
    <col min="67" max="69" width="9.140625" style="33" hidden="1" customWidth="1"/>
    <col min="70" max="70" width="9.85546875" style="33" hidden="1" customWidth="1"/>
    <col min="71" max="71" width="9.140625" style="33" hidden="1" customWidth="1"/>
    <col min="72" max="72" width="11.42578125" style="33" hidden="1" customWidth="1"/>
    <col min="73" max="77" width="9.140625" style="33" hidden="1" customWidth="1"/>
    <col min="78" max="78" width="10.7109375" style="33" hidden="1" customWidth="1"/>
    <col min="79" max="87" width="9.140625" style="33" hidden="1" customWidth="1"/>
    <col min="88" max="88" width="14.5703125" style="33" hidden="1" customWidth="1"/>
    <col min="89" max="89" width="61.42578125" style="33" hidden="1" customWidth="1"/>
    <col min="90" max="90" width="20.5703125" style="33" hidden="1" customWidth="1"/>
    <col min="91" max="91" width="42.85546875" style="33" hidden="1" customWidth="1"/>
    <col min="92" max="16384" width="9.140625" style="33" hidden="1"/>
  </cols>
  <sheetData>
    <row r="1" spans="2:90" s="32" customFormat="1" ht="8.25" customHeight="1" thickBot="1">
      <c r="CL1" s="33"/>
    </row>
    <row r="2" spans="2:90" ht="22.5" customHeight="1">
      <c r="B2" s="366"/>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8"/>
    </row>
    <row r="3" spans="2:90" ht="22.5" customHeight="1" thickBot="1">
      <c r="B3" s="369"/>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1"/>
    </row>
    <row r="4" spans="2:90" ht="22.5" customHeight="1">
      <c r="B4" s="397" t="s">
        <v>55</v>
      </c>
      <c r="C4" s="398"/>
      <c r="D4" s="398"/>
      <c r="E4" s="398"/>
      <c r="F4" s="398"/>
      <c r="G4" s="396" t="s">
        <v>194</v>
      </c>
      <c r="H4" s="396"/>
      <c r="I4" s="492" t="s">
        <v>220</v>
      </c>
      <c r="J4" s="493"/>
      <c r="K4" s="493"/>
      <c r="L4" s="493"/>
      <c r="M4" s="493"/>
      <c r="N4" s="493"/>
      <c r="O4" s="493"/>
      <c r="P4" s="493"/>
      <c r="Q4" s="494"/>
      <c r="R4" s="34"/>
      <c r="S4" s="108"/>
      <c r="T4" s="109"/>
      <c r="U4" s="109"/>
      <c r="V4" s="109"/>
      <c r="W4" s="109"/>
      <c r="X4" s="109"/>
      <c r="Y4" s="109"/>
      <c r="Z4" s="109"/>
      <c r="AA4" s="109"/>
      <c r="AB4" s="109"/>
      <c r="AC4" s="109"/>
      <c r="AD4" s="66"/>
    </row>
    <row r="5" spans="2:90" ht="22.5" customHeight="1">
      <c r="B5" s="372" t="s">
        <v>173</v>
      </c>
      <c r="C5" s="373"/>
      <c r="D5" s="373"/>
      <c r="E5" s="373"/>
      <c r="F5" s="373"/>
      <c r="G5" s="373"/>
      <c r="H5" s="373"/>
      <c r="I5" s="374" t="s">
        <v>221</v>
      </c>
      <c r="J5" s="374"/>
      <c r="K5" s="374"/>
      <c r="L5" s="374"/>
      <c r="M5" s="374"/>
      <c r="N5" s="374"/>
      <c r="O5" s="374"/>
      <c r="P5" s="374"/>
      <c r="Q5" s="375"/>
      <c r="R5" s="34"/>
      <c r="S5" s="111"/>
      <c r="T5" s="41"/>
      <c r="U5" s="41"/>
      <c r="V5" s="41"/>
      <c r="W5" s="41"/>
      <c r="X5" s="41"/>
      <c r="Y5" s="41"/>
      <c r="Z5" s="41"/>
      <c r="AA5" s="41"/>
      <c r="AB5" s="41"/>
      <c r="AC5" s="41"/>
      <c r="AD5" s="67"/>
    </row>
    <row r="6" spans="2:90" ht="22.5" customHeight="1">
      <c r="B6" s="372" t="s">
        <v>174</v>
      </c>
      <c r="C6" s="373"/>
      <c r="D6" s="373"/>
      <c r="E6" s="373"/>
      <c r="F6" s="373"/>
      <c r="G6" s="373"/>
      <c r="H6" s="373"/>
      <c r="I6" s="374" t="s">
        <v>221</v>
      </c>
      <c r="J6" s="374"/>
      <c r="K6" s="374"/>
      <c r="L6" s="374"/>
      <c r="M6" s="374"/>
      <c r="N6" s="374"/>
      <c r="O6" s="374"/>
      <c r="P6" s="374"/>
      <c r="Q6" s="375"/>
      <c r="R6" s="34"/>
      <c r="S6" s="111"/>
      <c r="T6" s="41"/>
      <c r="U6" s="41"/>
      <c r="V6" s="41"/>
      <c r="W6" s="41"/>
      <c r="X6" s="41"/>
      <c r="Y6" s="41"/>
      <c r="Z6" s="41"/>
      <c r="AA6" s="41"/>
      <c r="AB6" s="41"/>
      <c r="AC6" s="41"/>
      <c r="AD6" s="67"/>
    </row>
    <row r="7" spans="2:90" ht="22.5" customHeight="1">
      <c r="B7" s="372" t="s">
        <v>328</v>
      </c>
      <c r="C7" s="373"/>
      <c r="D7" s="373"/>
      <c r="E7" s="373"/>
      <c r="F7" s="373"/>
      <c r="G7" s="373"/>
      <c r="H7" s="373"/>
      <c r="I7" s="374" t="s">
        <v>329</v>
      </c>
      <c r="J7" s="374"/>
      <c r="K7" s="374"/>
      <c r="L7" s="374"/>
      <c r="M7" s="374"/>
      <c r="N7" s="374"/>
      <c r="O7" s="374"/>
      <c r="P7" s="374"/>
      <c r="Q7" s="375"/>
      <c r="R7" s="34"/>
      <c r="S7" s="111"/>
      <c r="T7" s="41"/>
      <c r="U7" s="41"/>
      <c r="V7" s="41"/>
      <c r="W7" s="41"/>
      <c r="X7" s="41"/>
      <c r="Y7" s="41"/>
      <c r="Z7" s="41"/>
      <c r="AA7" s="41"/>
      <c r="AB7" s="41"/>
      <c r="AC7" s="41"/>
      <c r="AD7" s="67"/>
    </row>
    <row r="8" spans="2:90" ht="22.5" customHeight="1">
      <c r="B8" s="372" t="s">
        <v>327</v>
      </c>
      <c r="C8" s="373"/>
      <c r="D8" s="373"/>
      <c r="E8" s="373"/>
      <c r="F8" s="373"/>
      <c r="G8" s="373"/>
      <c r="H8" s="373"/>
      <c r="I8" s="374" t="s">
        <v>222</v>
      </c>
      <c r="J8" s="374"/>
      <c r="K8" s="374"/>
      <c r="L8" s="374"/>
      <c r="M8" s="374"/>
      <c r="N8" s="374"/>
      <c r="O8" s="374"/>
      <c r="P8" s="374"/>
      <c r="Q8" s="375"/>
      <c r="R8" s="34"/>
      <c r="S8" s="111"/>
      <c r="T8" s="41"/>
      <c r="U8" s="41"/>
      <c r="V8" s="41"/>
      <c r="W8" s="41"/>
      <c r="X8" s="41"/>
      <c r="Y8" s="41"/>
      <c r="Z8" s="41"/>
      <c r="AA8" s="41"/>
      <c r="AB8" s="41"/>
      <c r="AC8" s="41"/>
      <c r="AD8" s="67"/>
    </row>
    <row r="9" spans="2:90" ht="22.5" customHeight="1" thickBot="1">
      <c r="B9" s="372" t="s">
        <v>175</v>
      </c>
      <c r="C9" s="373"/>
      <c r="D9" s="373"/>
      <c r="E9" s="373"/>
      <c r="F9" s="373"/>
      <c r="G9" s="373"/>
      <c r="H9" s="373"/>
      <c r="I9" s="374" t="s">
        <v>222</v>
      </c>
      <c r="J9" s="374"/>
      <c r="K9" s="374"/>
      <c r="L9" s="374"/>
      <c r="M9" s="374"/>
      <c r="N9" s="374"/>
      <c r="O9" s="374"/>
      <c r="P9" s="374"/>
      <c r="Q9" s="375"/>
      <c r="R9" s="34"/>
      <c r="S9" s="119"/>
      <c r="T9" s="79"/>
      <c r="U9" s="79"/>
      <c r="V9" s="79"/>
      <c r="W9" s="79"/>
      <c r="X9" s="79"/>
      <c r="Y9" s="79"/>
      <c r="Z9" s="79"/>
      <c r="AA9" s="79"/>
      <c r="AB9" s="79"/>
      <c r="AC9" s="79"/>
      <c r="AD9" s="72"/>
    </row>
    <row r="10" spans="2:90" ht="22.5" customHeight="1">
      <c r="B10" s="372" t="s">
        <v>176</v>
      </c>
      <c r="C10" s="373"/>
      <c r="D10" s="373"/>
      <c r="E10" s="373"/>
      <c r="F10" s="373"/>
      <c r="G10" s="373"/>
      <c r="H10" s="373"/>
      <c r="I10" s="374" t="s">
        <v>223</v>
      </c>
      <c r="J10" s="374"/>
      <c r="K10" s="374"/>
      <c r="L10" s="374"/>
      <c r="M10" s="374"/>
      <c r="N10" s="374"/>
      <c r="O10" s="374"/>
      <c r="P10" s="374"/>
      <c r="Q10" s="375"/>
      <c r="R10" s="34"/>
    </row>
    <row r="11" spans="2:90" ht="22.5" customHeight="1" thickBot="1">
      <c r="B11" s="448" t="s">
        <v>177</v>
      </c>
      <c r="C11" s="449"/>
      <c r="D11" s="449"/>
      <c r="E11" s="449"/>
      <c r="F11" s="449"/>
      <c r="G11" s="449"/>
      <c r="H11" s="449"/>
      <c r="I11" s="452">
        <v>2026087</v>
      </c>
      <c r="J11" s="453"/>
      <c r="K11" s="454"/>
      <c r="L11" s="455" t="s">
        <v>398</v>
      </c>
      <c r="M11" s="456"/>
      <c r="N11" s="457"/>
      <c r="O11" s="452" t="s">
        <v>400</v>
      </c>
      <c r="P11" s="453"/>
      <c r="Q11" s="458"/>
      <c r="R11" s="34"/>
    </row>
    <row r="12" spans="2:90" ht="22.5" customHeight="1" thickBot="1">
      <c r="B12" s="495"/>
      <c r="C12" s="496"/>
      <c r="D12" s="496"/>
      <c r="E12" s="496"/>
      <c r="F12" s="496"/>
      <c r="G12" s="496"/>
      <c r="H12" s="496"/>
      <c r="I12" s="496"/>
      <c r="J12" s="496"/>
      <c r="K12" s="496"/>
      <c r="L12" s="496"/>
      <c r="M12" s="496"/>
      <c r="N12" s="496"/>
      <c r="O12" s="496"/>
      <c r="P12" s="496"/>
      <c r="Q12" s="497"/>
      <c r="R12" s="35"/>
    </row>
    <row r="13" spans="2:90" ht="22.5" customHeight="1">
      <c r="B13" s="450" t="s">
        <v>225</v>
      </c>
      <c r="C13" s="451"/>
      <c r="D13" s="451"/>
      <c r="E13" s="451"/>
      <c r="F13" s="451"/>
      <c r="G13" s="451"/>
      <c r="H13" s="451"/>
      <c r="I13" s="498" t="s">
        <v>224</v>
      </c>
      <c r="J13" s="498"/>
      <c r="K13" s="498"/>
      <c r="L13" s="498"/>
      <c r="M13" s="498"/>
      <c r="N13" s="498"/>
      <c r="O13" s="498"/>
      <c r="P13" s="498"/>
      <c r="Q13" s="499"/>
      <c r="R13" s="34"/>
    </row>
    <row r="14" spans="2:90" ht="22.5" customHeight="1">
      <c r="B14" s="372" t="s">
        <v>178</v>
      </c>
      <c r="C14" s="373"/>
      <c r="D14" s="373"/>
      <c r="E14" s="373"/>
      <c r="F14" s="373"/>
      <c r="G14" s="447" t="s">
        <v>194</v>
      </c>
      <c r="H14" s="447"/>
      <c r="I14" s="374" t="s">
        <v>226</v>
      </c>
      <c r="J14" s="374"/>
      <c r="K14" s="374"/>
      <c r="L14" s="374"/>
      <c r="M14" s="374"/>
      <c r="N14" s="374"/>
      <c r="O14" s="374"/>
      <c r="P14" s="374"/>
      <c r="Q14" s="375"/>
      <c r="R14" s="34"/>
    </row>
    <row r="15" spans="2:90" ht="22.5" customHeight="1">
      <c r="B15" s="372" t="s">
        <v>179</v>
      </c>
      <c r="C15" s="373"/>
      <c r="D15" s="373"/>
      <c r="E15" s="373"/>
      <c r="F15" s="373"/>
      <c r="G15" s="373"/>
      <c r="H15" s="373"/>
      <c r="I15" s="374" t="s">
        <v>227</v>
      </c>
      <c r="J15" s="374"/>
      <c r="K15" s="374"/>
      <c r="L15" s="374"/>
      <c r="M15" s="374"/>
      <c r="N15" s="374"/>
      <c r="O15" s="374"/>
      <c r="P15" s="374"/>
      <c r="Q15" s="375"/>
      <c r="R15" s="34"/>
    </row>
    <row r="16" spans="2:90" ht="22.5" customHeight="1">
      <c r="B16" s="372" t="s">
        <v>229</v>
      </c>
      <c r="C16" s="373"/>
      <c r="D16" s="373"/>
      <c r="E16" s="373"/>
      <c r="F16" s="373"/>
      <c r="G16" s="373"/>
      <c r="H16" s="373"/>
      <c r="I16" s="374" t="s">
        <v>230</v>
      </c>
      <c r="J16" s="374"/>
      <c r="K16" s="374"/>
      <c r="L16" s="374"/>
      <c r="M16" s="374"/>
      <c r="N16" s="374"/>
      <c r="O16" s="374"/>
      <c r="P16" s="374"/>
      <c r="Q16" s="375"/>
      <c r="R16" s="34"/>
    </row>
    <row r="17" spans="2:30" ht="22.5" customHeight="1">
      <c r="B17" s="372" t="s">
        <v>228</v>
      </c>
      <c r="C17" s="373"/>
      <c r="D17" s="373"/>
      <c r="E17" s="373"/>
      <c r="F17" s="373"/>
      <c r="G17" s="373"/>
      <c r="H17" s="373"/>
      <c r="I17" s="374" t="s">
        <v>231</v>
      </c>
      <c r="J17" s="374"/>
      <c r="K17" s="374"/>
      <c r="L17" s="374"/>
      <c r="M17" s="374"/>
      <c r="N17" s="374"/>
      <c r="O17" s="374"/>
      <c r="P17" s="374"/>
      <c r="Q17" s="375"/>
      <c r="R17" s="34"/>
    </row>
    <row r="18" spans="2:30" ht="22.5" customHeight="1" thickBot="1">
      <c r="B18" s="408" t="s">
        <v>180</v>
      </c>
      <c r="C18" s="409"/>
      <c r="D18" s="409"/>
      <c r="E18" s="409"/>
      <c r="F18" s="409"/>
      <c r="G18" s="409"/>
      <c r="H18" s="409"/>
      <c r="I18" s="500">
        <v>15010308101</v>
      </c>
      <c r="J18" s="500"/>
      <c r="K18" s="500"/>
      <c r="L18" s="500"/>
      <c r="M18" s="500"/>
      <c r="N18" s="500"/>
      <c r="O18" s="500"/>
      <c r="P18" s="500"/>
      <c r="Q18" s="501"/>
      <c r="R18" s="34"/>
    </row>
    <row r="19" spans="2:30" ht="30" customHeight="1" thickBot="1">
      <c r="B19" s="459"/>
      <c r="C19" s="460"/>
      <c r="D19" s="460"/>
      <c r="E19" s="460"/>
      <c r="F19" s="460"/>
      <c r="G19" s="460"/>
      <c r="H19" s="460"/>
      <c r="I19" s="460"/>
      <c r="J19" s="460"/>
      <c r="K19" s="460"/>
      <c r="L19" s="460"/>
      <c r="M19" s="460"/>
      <c r="N19" s="460"/>
      <c r="O19" s="460"/>
      <c r="P19" s="460"/>
      <c r="Q19" s="461"/>
      <c r="R19" s="34"/>
    </row>
    <row r="20" spans="2:30" ht="22.5" customHeight="1" thickBot="1">
      <c r="B20" s="424" t="s">
        <v>181</v>
      </c>
      <c r="C20" s="425"/>
      <c r="D20" s="426"/>
      <c r="E20" s="406" t="s">
        <v>197</v>
      </c>
      <c r="F20" s="407"/>
      <c r="G20" s="385"/>
      <c r="H20" s="385"/>
      <c r="I20" s="385"/>
      <c r="J20" s="379"/>
      <c r="K20" s="364" t="str">
        <f>IF(AM199=4,"Option Increment Month ","No need to enter here ")</f>
        <v xml:space="preserve">No need to enter here </v>
      </c>
      <c r="L20" s="386"/>
      <c r="M20" s="386"/>
      <c r="N20" s="386"/>
      <c r="O20" s="365"/>
      <c r="P20" s="387" t="s">
        <v>498</v>
      </c>
      <c r="Q20" s="388"/>
      <c r="R20" s="34"/>
      <c r="S20" s="41"/>
      <c r="T20" s="41"/>
      <c r="U20" s="41"/>
      <c r="V20" s="41"/>
      <c r="W20" s="41"/>
      <c r="X20" s="41"/>
      <c r="Y20" s="41"/>
      <c r="Z20" s="41"/>
      <c r="AA20" s="41"/>
      <c r="AB20" s="41"/>
      <c r="AC20" s="41"/>
      <c r="AD20" s="41"/>
    </row>
    <row r="21" spans="2:30" ht="22.5" customHeight="1" thickBot="1">
      <c r="B21" s="520" t="str">
        <f>CONCATENATE("Basic Pay as on Option Date i.e on : ",AP199," ")</f>
        <v xml:space="preserve">Basic Pay as on Option Date i.e on : 01.07.2018 </v>
      </c>
      <c r="C21" s="521"/>
      <c r="D21" s="521"/>
      <c r="E21" s="521"/>
      <c r="F21" s="521"/>
      <c r="G21" s="521"/>
      <c r="H21" s="521"/>
      <c r="I21" s="521"/>
      <c r="J21" s="521"/>
      <c r="K21" s="521"/>
      <c r="L21" s="521"/>
      <c r="M21" s="521"/>
      <c r="N21" s="521"/>
      <c r="O21" s="522"/>
      <c r="P21" s="387">
        <v>34170</v>
      </c>
      <c r="Q21" s="388"/>
      <c r="R21" s="34"/>
      <c r="S21" s="41"/>
      <c r="T21" s="41"/>
      <c r="U21" s="41"/>
      <c r="V21" s="41"/>
      <c r="W21" s="41"/>
      <c r="X21" s="41"/>
      <c r="Y21" s="41"/>
      <c r="Z21" s="41"/>
      <c r="AA21" s="41"/>
      <c r="AB21" s="41"/>
      <c r="AC21" s="41"/>
      <c r="AD21" s="41"/>
    </row>
    <row r="22" spans="2:30" ht="22.5" customHeight="1" thickBot="1">
      <c r="B22" s="432" t="s">
        <v>435</v>
      </c>
      <c r="C22" s="432"/>
      <c r="D22" s="432"/>
      <c r="E22" s="432"/>
      <c r="F22" s="432"/>
      <c r="G22" s="432"/>
      <c r="H22" s="432"/>
      <c r="I22" s="432"/>
      <c r="J22" s="432"/>
      <c r="K22" s="432"/>
      <c r="L22" s="432"/>
      <c r="M22" s="432"/>
      <c r="N22" s="432"/>
      <c r="O22" s="432"/>
      <c r="P22" s="432"/>
      <c r="Q22" s="433"/>
      <c r="R22" s="34"/>
      <c r="S22" s="41"/>
      <c r="T22" s="41"/>
      <c r="U22" s="41"/>
      <c r="V22" s="41"/>
      <c r="W22" s="41"/>
      <c r="X22" s="41"/>
      <c r="Y22" s="41"/>
      <c r="Z22" s="41"/>
      <c r="AA22" s="41"/>
      <c r="AB22" s="41"/>
      <c r="AC22" s="41"/>
      <c r="AD22" s="41"/>
    </row>
    <row r="23" spans="2:30" ht="22.5" customHeight="1" thickBot="1">
      <c r="B23" s="405" t="s">
        <v>183</v>
      </c>
      <c r="C23" s="405"/>
      <c r="D23" s="405"/>
      <c r="E23" s="405"/>
      <c r="F23" s="243">
        <v>390</v>
      </c>
      <c r="G23" s="424" t="s">
        <v>184</v>
      </c>
      <c r="H23" s="425"/>
      <c r="I23" s="425"/>
      <c r="J23" s="425"/>
      <c r="K23" s="425"/>
      <c r="L23" s="244">
        <v>15</v>
      </c>
      <c r="M23" s="424" t="s">
        <v>185</v>
      </c>
      <c r="N23" s="425"/>
      <c r="O23" s="426"/>
      <c r="P23" s="427" t="s">
        <v>59</v>
      </c>
      <c r="Q23" s="428"/>
      <c r="R23" s="34"/>
      <c r="S23" s="41"/>
      <c r="T23" s="41"/>
      <c r="U23" s="41"/>
      <c r="V23" s="41"/>
      <c r="W23" s="41"/>
    </row>
    <row r="24" spans="2:30" ht="22.5" customHeight="1" thickBot="1">
      <c r="B24" s="364" t="s">
        <v>320</v>
      </c>
      <c r="C24" s="386"/>
      <c r="D24" s="386"/>
      <c r="E24" s="386"/>
      <c r="F24" s="386"/>
      <c r="G24" s="386"/>
      <c r="H24" s="386"/>
      <c r="I24" s="386"/>
      <c r="J24" s="386"/>
      <c r="K24" s="386"/>
      <c r="L24" s="365"/>
      <c r="M24" s="245">
        <v>20</v>
      </c>
      <c r="N24" s="429" t="s">
        <v>434</v>
      </c>
      <c r="O24" s="430"/>
      <c r="P24" s="430"/>
      <c r="Q24" s="431"/>
      <c r="R24" s="34"/>
      <c r="S24" s="41"/>
      <c r="T24" s="41"/>
      <c r="U24" s="41"/>
      <c r="V24" s="41"/>
      <c r="W24" s="41"/>
    </row>
    <row r="25" spans="2:30" ht="22.5" customHeight="1" thickBot="1">
      <c r="B25" s="432" t="s">
        <v>436</v>
      </c>
      <c r="C25" s="432"/>
      <c r="D25" s="432"/>
      <c r="E25" s="432"/>
      <c r="F25" s="432"/>
      <c r="G25" s="432"/>
      <c r="H25" s="432"/>
      <c r="I25" s="432"/>
      <c r="J25" s="432"/>
      <c r="K25" s="432"/>
      <c r="L25" s="432"/>
      <c r="M25" s="432"/>
      <c r="N25" s="432"/>
      <c r="O25" s="432"/>
      <c r="P25" s="432"/>
      <c r="Q25" s="433"/>
      <c r="R25" s="34"/>
      <c r="S25" s="41"/>
      <c r="T25" s="41"/>
      <c r="U25" s="41"/>
      <c r="V25" s="41"/>
      <c r="W25" s="41"/>
    </row>
    <row r="26" spans="2:30" ht="22.5" customHeight="1" thickBot="1">
      <c r="B26" s="439" t="s">
        <v>438</v>
      </c>
      <c r="C26" s="440"/>
      <c r="D26" s="441"/>
      <c r="E26" s="437" t="s">
        <v>165</v>
      </c>
      <c r="F26" s="438"/>
      <c r="G26" s="437" t="s">
        <v>441</v>
      </c>
      <c r="H26" s="442"/>
      <c r="I26" s="438"/>
      <c r="J26" s="437" t="s">
        <v>440</v>
      </c>
      <c r="K26" s="438"/>
      <c r="L26" s="437" t="s">
        <v>439</v>
      </c>
      <c r="M26" s="438"/>
      <c r="N26" s="445"/>
      <c r="O26" s="446"/>
      <c r="P26" s="445" t="s">
        <v>3</v>
      </c>
      <c r="Q26" s="446"/>
      <c r="R26" s="34"/>
      <c r="S26" s="41"/>
      <c r="T26" s="41"/>
      <c r="U26" s="41"/>
      <c r="V26" s="41"/>
      <c r="W26" s="41"/>
    </row>
    <row r="27" spans="2:30" ht="22.5" customHeight="1" thickBot="1">
      <c r="B27" s="393" t="s">
        <v>437</v>
      </c>
      <c r="C27" s="394"/>
      <c r="D27" s="395"/>
      <c r="E27" s="378">
        <v>10</v>
      </c>
      <c r="F27" s="379"/>
      <c r="G27" s="403">
        <v>20</v>
      </c>
      <c r="H27" s="403"/>
      <c r="I27" s="403"/>
      <c r="J27" s="443" t="s">
        <v>112</v>
      </c>
      <c r="K27" s="444"/>
      <c r="L27" s="420">
        <v>0</v>
      </c>
      <c r="M27" s="421"/>
      <c r="N27" s="420">
        <v>0</v>
      </c>
      <c r="O27" s="421"/>
      <c r="P27" s="420">
        <v>0</v>
      </c>
      <c r="Q27" s="422"/>
      <c r="R27" s="34"/>
      <c r="S27" s="41"/>
      <c r="T27" s="41"/>
      <c r="U27" s="41"/>
      <c r="V27" s="41"/>
      <c r="W27" s="41"/>
    </row>
    <row r="28" spans="2:30" ht="22.5" customHeight="1" thickBot="1">
      <c r="B28" s="434" t="s">
        <v>444</v>
      </c>
      <c r="C28" s="435"/>
      <c r="D28" s="436"/>
      <c r="E28" s="378">
        <v>20</v>
      </c>
      <c r="F28" s="379"/>
      <c r="G28" s="403">
        <v>30</v>
      </c>
      <c r="H28" s="403"/>
      <c r="I28" s="403"/>
      <c r="J28" s="378">
        <v>0</v>
      </c>
      <c r="K28" s="379"/>
      <c r="L28" s="423">
        <v>0</v>
      </c>
      <c r="M28" s="421"/>
      <c r="N28" s="420">
        <v>0</v>
      </c>
      <c r="O28" s="421"/>
      <c r="P28" s="420">
        <v>0</v>
      </c>
      <c r="Q28" s="422"/>
      <c r="R28" s="34"/>
      <c r="S28" s="41"/>
      <c r="T28" s="41"/>
      <c r="U28" s="41"/>
      <c r="V28" s="41"/>
      <c r="W28" s="41"/>
      <c r="X28" s="41"/>
      <c r="Y28" s="41"/>
      <c r="Z28" s="41"/>
      <c r="AA28" s="41"/>
      <c r="AB28" s="41"/>
      <c r="AC28" s="41"/>
      <c r="AD28" s="41"/>
    </row>
    <row r="29" spans="2:30" ht="22.5" customHeight="1">
      <c r="B29" s="234"/>
      <c r="C29" s="235"/>
      <c r="D29" s="235"/>
      <c r="E29" s="236"/>
      <c r="F29" s="526" t="s">
        <v>421</v>
      </c>
      <c r="G29" s="527"/>
      <c r="H29" s="527"/>
      <c r="I29" s="527"/>
      <c r="J29" s="527"/>
      <c r="K29" s="527"/>
      <c r="L29" s="528"/>
      <c r="M29" s="108"/>
      <c r="N29" s="109"/>
      <c r="O29" s="109"/>
      <c r="P29" s="109"/>
      <c r="Q29" s="109"/>
      <c r="R29" s="66"/>
    </row>
    <row r="30" spans="2:30" ht="22.5" customHeight="1">
      <c r="B30" s="237"/>
      <c r="C30" s="238"/>
      <c r="D30" s="238"/>
      <c r="E30" s="239"/>
      <c r="F30" s="523" t="s">
        <v>422</v>
      </c>
      <c r="G30" s="524"/>
      <c r="H30" s="524"/>
      <c r="I30" s="524"/>
      <c r="J30" s="524"/>
      <c r="K30" s="524"/>
      <c r="L30" s="525"/>
      <c r="M30" s="111"/>
      <c r="N30" s="41"/>
      <c r="O30" s="41"/>
      <c r="P30" s="41"/>
      <c r="Q30" s="41"/>
      <c r="R30" s="67"/>
    </row>
    <row r="31" spans="2:30" ht="22.5" customHeight="1">
      <c r="B31" s="237"/>
      <c r="C31" s="238"/>
      <c r="D31" s="238"/>
      <c r="E31" s="239"/>
      <c r="F31" s="523"/>
      <c r="G31" s="524"/>
      <c r="H31" s="524"/>
      <c r="I31" s="524"/>
      <c r="J31" s="524"/>
      <c r="K31" s="524"/>
      <c r="L31" s="525"/>
      <c r="M31" s="111"/>
      <c r="N31" s="41"/>
      <c r="O31" s="41"/>
      <c r="P31" s="41"/>
      <c r="Q31" s="41"/>
      <c r="R31" s="67"/>
    </row>
    <row r="32" spans="2:30" ht="22.5" customHeight="1">
      <c r="B32" s="237"/>
      <c r="C32" s="238"/>
      <c r="D32" s="238"/>
      <c r="E32" s="239"/>
      <c r="F32" s="232"/>
      <c r="G32" s="313" t="s">
        <v>423</v>
      </c>
      <c r="H32" s="36"/>
      <c r="I32" s="36"/>
      <c r="J32" s="36"/>
      <c r="K32" s="36"/>
      <c r="L32" s="37"/>
      <c r="M32" s="111"/>
      <c r="N32" s="41"/>
      <c r="O32" s="41"/>
      <c r="P32" s="41"/>
      <c r="Q32" s="41"/>
      <c r="R32" s="67"/>
    </row>
    <row r="33" spans="2:36" ht="22.5" customHeight="1" thickBot="1">
      <c r="B33" s="240"/>
      <c r="C33" s="241"/>
      <c r="D33" s="241"/>
      <c r="E33" s="242"/>
      <c r="F33" s="233"/>
      <c r="G33" s="529" t="s">
        <v>424</v>
      </c>
      <c r="H33" s="529"/>
      <c r="I33" s="529"/>
      <c r="J33" s="529"/>
      <c r="K33" s="529"/>
      <c r="L33" s="530"/>
      <c r="M33" s="119"/>
      <c r="N33" s="79"/>
      <c r="O33" s="79"/>
      <c r="P33" s="79"/>
      <c r="Q33" s="79"/>
      <c r="R33" s="72"/>
    </row>
    <row r="34" spans="2:36" ht="22.5" customHeight="1" thickBot="1">
      <c r="B34" s="531" t="s">
        <v>190</v>
      </c>
      <c r="C34" s="532"/>
      <c r="D34" s="532"/>
      <c r="E34" s="532"/>
      <c r="F34" s="532"/>
      <c r="G34" s="532"/>
      <c r="H34" s="532"/>
      <c r="I34" s="532"/>
      <c r="J34" s="532"/>
      <c r="K34" s="532"/>
      <c r="L34" s="532"/>
      <c r="M34" s="532"/>
      <c r="N34" s="532"/>
      <c r="O34" s="532"/>
      <c r="P34" s="532"/>
      <c r="Q34" s="532"/>
      <c r="R34" s="533"/>
      <c r="S34" s="108"/>
      <c r="T34" s="109"/>
      <c r="U34" s="109"/>
      <c r="V34" s="109"/>
      <c r="W34" s="109"/>
      <c r="X34" s="109"/>
      <c r="Y34" s="109"/>
      <c r="Z34" s="109"/>
      <c r="AA34" s="109"/>
      <c r="AB34" s="109"/>
      <c r="AC34" s="109"/>
      <c r="AD34" s="66"/>
    </row>
    <row r="35" spans="2:36" ht="25.5" customHeight="1" thickBot="1">
      <c r="B35" s="64" t="s">
        <v>442</v>
      </c>
      <c r="C35" s="110"/>
      <c r="D35" s="110"/>
      <c r="E35" s="65"/>
      <c r="F35" s="284">
        <v>30</v>
      </c>
      <c r="G35" s="64" t="s">
        <v>191</v>
      </c>
      <c r="H35" s="65"/>
      <c r="I35" s="296" t="s">
        <v>112</v>
      </c>
      <c r="J35" s="543" t="s">
        <v>192</v>
      </c>
      <c r="K35" s="386"/>
      <c r="L35" s="386"/>
      <c r="M35" s="365"/>
      <c r="N35" s="284">
        <v>12</v>
      </c>
      <c r="O35" s="286">
        <v>4</v>
      </c>
      <c r="P35" s="286">
        <v>6</v>
      </c>
      <c r="Q35" s="544">
        <v>2019</v>
      </c>
      <c r="R35" s="379"/>
      <c r="S35" s="111"/>
      <c r="T35" s="41"/>
      <c r="U35" s="41"/>
      <c r="V35" s="41"/>
      <c r="W35" s="41"/>
      <c r="X35" s="41"/>
      <c r="Y35" s="41"/>
      <c r="Z35" s="41"/>
      <c r="AA35" s="41"/>
      <c r="AB35" s="41"/>
      <c r="AC35" s="41"/>
      <c r="AD35" s="67"/>
    </row>
    <row r="36" spans="2:36" ht="34.5" customHeight="1" thickBot="1">
      <c r="B36" s="553" t="s">
        <v>492</v>
      </c>
      <c r="C36" s="554"/>
      <c r="D36" s="554"/>
      <c r="E36" s="554"/>
      <c r="F36" s="554"/>
      <c r="G36" s="554"/>
      <c r="H36" s="554"/>
      <c r="I36" s="554"/>
      <c r="J36" s="554"/>
      <c r="K36" s="554"/>
      <c r="L36" s="554"/>
      <c r="M36" s="554"/>
      <c r="N36" s="554"/>
      <c r="O36" s="554"/>
      <c r="P36" s="554"/>
      <c r="Q36" s="554"/>
      <c r="R36" s="555"/>
      <c r="S36" s="111"/>
      <c r="T36" s="41"/>
      <c r="U36" s="41"/>
      <c r="V36" s="41"/>
      <c r="W36" s="41"/>
      <c r="X36" s="41"/>
      <c r="Y36" s="41"/>
      <c r="Z36" s="41"/>
      <c r="AA36" s="41"/>
      <c r="AB36" s="41"/>
      <c r="AC36" s="41"/>
      <c r="AD36" s="67"/>
    </row>
    <row r="37" spans="2:36" ht="24.75" customHeight="1" thickBot="1">
      <c r="B37" s="300"/>
      <c r="C37" s="301"/>
      <c r="D37" s="301"/>
      <c r="E37" s="301"/>
      <c r="F37" s="301"/>
      <c r="G37" s="301"/>
      <c r="H37" s="301"/>
      <c r="I37" s="301"/>
      <c r="J37" s="301"/>
      <c r="K37" s="301"/>
      <c r="L37" s="301"/>
      <c r="M37" s="301"/>
      <c r="N37" s="301"/>
      <c r="O37" s="301"/>
      <c r="P37" s="301"/>
      <c r="Q37" s="301"/>
      <c r="R37" s="305" t="s">
        <v>112</v>
      </c>
      <c r="S37" s="111"/>
      <c r="T37" s="41"/>
      <c r="U37" s="41"/>
      <c r="V37" s="41"/>
      <c r="W37" s="41"/>
      <c r="X37" s="41"/>
      <c r="Y37" s="41"/>
      <c r="Z37" s="41"/>
      <c r="AA37" s="41"/>
      <c r="AB37" s="41"/>
      <c r="AC37" s="41"/>
      <c r="AD37" s="67"/>
    </row>
    <row r="38" spans="2:36" ht="22.5" customHeight="1" thickBot="1">
      <c r="B38" s="364" t="s">
        <v>193</v>
      </c>
      <c r="C38" s="386"/>
      <c r="D38" s="386"/>
      <c r="E38" s="540" t="s">
        <v>208</v>
      </c>
      <c r="F38" s="541"/>
      <c r="G38" s="541"/>
      <c r="H38" s="541"/>
      <c r="I38" s="542"/>
      <c r="J38" s="364" t="s">
        <v>205</v>
      </c>
      <c r="K38" s="386"/>
      <c r="L38" s="386"/>
      <c r="M38" s="365"/>
      <c r="N38" s="540" t="s">
        <v>209</v>
      </c>
      <c r="O38" s="541"/>
      <c r="P38" s="541"/>
      <c r="Q38" s="541"/>
      <c r="R38" s="542"/>
      <c r="S38" s="111"/>
      <c r="T38" s="41"/>
      <c r="U38" s="41"/>
      <c r="V38" s="41"/>
      <c r="W38" s="41"/>
      <c r="X38" s="41"/>
      <c r="Y38" s="41"/>
      <c r="Z38" s="41"/>
      <c r="AA38" s="41"/>
      <c r="AB38" s="41"/>
      <c r="AC38" s="41"/>
      <c r="AD38" s="67"/>
    </row>
    <row r="39" spans="2:36" ht="22.5" customHeight="1" thickBot="1">
      <c r="B39" s="545" t="s">
        <v>210</v>
      </c>
      <c r="C39" s="546"/>
      <c r="D39" s="546"/>
      <c r="E39" s="547"/>
      <c r="F39" s="285">
        <v>1</v>
      </c>
      <c r="G39" s="285">
        <v>6</v>
      </c>
      <c r="H39" s="378">
        <v>2020</v>
      </c>
      <c r="I39" s="379"/>
      <c r="J39" s="548" t="s">
        <v>434</v>
      </c>
      <c r="K39" s="549"/>
      <c r="L39" s="549"/>
      <c r="M39" s="549"/>
      <c r="N39" s="549"/>
      <c r="O39" s="549"/>
      <c r="P39" s="549"/>
      <c r="Q39" s="549"/>
      <c r="R39" s="550"/>
      <c r="S39" s="119"/>
      <c r="T39" s="79"/>
      <c r="U39" s="79"/>
      <c r="V39" s="79"/>
      <c r="W39" s="79"/>
      <c r="X39" s="79"/>
      <c r="Y39" s="79"/>
      <c r="Z39" s="79"/>
      <c r="AA39" s="79"/>
      <c r="AB39" s="79"/>
      <c r="AC39" s="79"/>
      <c r="AD39" s="72"/>
    </row>
    <row r="40" spans="2:36" ht="22.5" customHeight="1" thickBot="1">
      <c r="B40" s="489" t="s">
        <v>499</v>
      </c>
      <c r="C40" s="490"/>
      <c r="D40" s="490"/>
      <c r="E40" s="490"/>
      <c r="F40" s="490"/>
      <c r="G40" s="490"/>
      <c r="H40" s="490"/>
      <c r="I40" s="490"/>
      <c r="J40" s="490"/>
      <c r="K40" s="490"/>
      <c r="L40" s="490"/>
      <c r="M40" s="490"/>
      <c r="N40" s="490"/>
      <c r="O40" s="490"/>
      <c r="P40" s="490"/>
      <c r="Q40" s="490"/>
      <c r="R40" s="490"/>
      <c r="S40" s="490"/>
      <c r="T40" s="490"/>
      <c r="U40" s="490"/>
      <c r="V40" s="490"/>
      <c r="W40" s="490"/>
      <c r="X40" s="490"/>
      <c r="Y40" s="490"/>
      <c r="Z40" s="490"/>
      <c r="AA40" s="490"/>
      <c r="AB40" s="490"/>
      <c r="AC40" s="490"/>
      <c r="AD40" s="491"/>
    </row>
    <row r="41" spans="2:36" ht="22.5" customHeight="1" thickBot="1">
      <c r="B41" s="376" t="s">
        <v>443</v>
      </c>
      <c r="C41" s="377"/>
      <c r="D41" s="377"/>
      <c r="E41" s="377"/>
      <c r="F41" s="377"/>
      <c r="G41" s="378" t="s">
        <v>249</v>
      </c>
      <c r="H41" s="385"/>
      <c r="I41" s="379"/>
      <c r="J41" s="378" t="s">
        <v>331</v>
      </c>
      <c r="K41" s="379"/>
      <c r="L41" s="380" t="s">
        <v>10</v>
      </c>
      <c r="M41" s="381"/>
      <c r="N41" s="381"/>
      <c r="O41" s="381"/>
      <c r="P41" s="382" t="s">
        <v>284</v>
      </c>
      <c r="Q41" s="383"/>
      <c r="R41" s="384"/>
      <c r="S41" s="378" t="s">
        <v>331</v>
      </c>
      <c r="T41" s="379"/>
      <c r="U41" s="38"/>
      <c r="V41" s="38"/>
      <c r="W41" s="38"/>
      <c r="X41" s="38"/>
      <c r="Y41" s="38"/>
      <c r="Z41" s="38"/>
      <c r="AA41" s="38"/>
      <c r="AB41" s="38"/>
      <c r="AC41" s="38"/>
      <c r="AD41" s="38"/>
    </row>
    <row r="42" spans="2:36" ht="22.5" customHeight="1">
      <c r="B42" s="534" t="s">
        <v>188</v>
      </c>
      <c r="C42" s="535"/>
      <c r="D42" s="535"/>
      <c r="E42" s="535"/>
      <c r="F42" s="536"/>
      <c r="G42" s="551" t="s">
        <v>189</v>
      </c>
      <c r="H42" s="551" t="s">
        <v>200</v>
      </c>
      <c r="I42" s="413" t="s">
        <v>199</v>
      </c>
      <c r="J42" s="414"/>
      <c r="K42" s="417" t="s">
        <v>201</v>
      </c>
      <c r="L42" s="417"/>
      <c r="M42" s="414"/>
      <c r="N42" s="418" t="s">
        <v>203</v>
      </c>
      <c r="O42" s="419"/>
      <c r="P42" s="413" t="s">
        <v>202</v>
      </c>
      <c r="Q42" s="417"/>
      <c r="R42" s="417"/>
      <c r="S42" s="418" t="s">
        <v>204</v>
      </c>
      <c r="T42" s="419"/>
    </row>
    <row r="43" spans="2:36" ht="29.25" customHeight="1" thickBot="1">
      <c r="B43" s="537"/>
      <c r="C43" s="538"/>
      <c r="D43" s="538"/>
      <c r="E43" s="538"/>
      <c r="F43" s="539"/>
      <c r="G43" s="552"/>
      <c r="H43" s="552"/>
      <c r="I43" s="415"/>
      <c r="J43" s="416"/>
      <c r="K43" s="417"/>
      <c r="L43" s="417"/>
      <c r="M43" s="414"/>
      <c r="N43" s="418"/>
      <c r="O43" s="419"/>
      <c r="P43" s="413"/>
      <c r="Q43" s="417"/>
      <c r="R43" s="417"/>
      <c r="S43" s="418"/>
      <c r="T43" s="419"/>
    </row>
    <row r="44" spans="2:36" ht="22.5" customHeight="1" thickBot="1">
      <c r="B44" s="559" t="s">
        <v>211</v>
      </c>
      <c r="C44" s="560"/>
      <c r="D44" s="560"/>
      <c r="E44" s="560"/>
      <c r="F44" s="561"/>
      <c r="G44" s="287">
        <v>1</v>
      </c>
      <c r="H44" s="288">
        <v>10</v>
      </c>
      <c r="I44" s="562">
        <v>2018</v>
      </c>
      <c r="J44" s="563"/>
      <c r="K44" s="564" t="str">
        <f>G41</f>
        <v>29760 - 80930</v>
      </c>
      <c r="L44" s="562"/>
      <c r="M44" s="563"/>
      <c r="N44" s="464">
        <f t="shared" ref="N44:N49" si="0">AT205</f>
        <v>35120</v>
      </c>
      <c r="O44" s="465"/>
      <c r="P44" s="564" t="str">
        <f>P41</f>
        <v>54220 - 133630</v>
      </c>
      <c r="Q44" s="562"/>
      <c r="R44" s="563"/>
      <c r="S44" s="464">
        <f t="shared" ref="S44:S49" si="1">BC205</f>
        <v>57220</v>
      </c>
      <c r="T44" s="465"/>
      <c r="U44" s="108"/>
      <c r="V44" s="109"/>
      <c r="W44" s="109"/>
      <c r="X44" s="109"/>
      <c r="Y44" s="109"/>
      <c r="Z44" s="109"/>
      <c r="AA44" s="109"/>
      <c r="AB44" s="109"/>
      <c r="AC44" s="109"/>
      <c r="AD44" s="66"/>
      <c r="AJ44" s="39"/>
    </row>
    <row r="45" spans="2:36" ht="22.5" customHeight="1" thickBot="1">
      <c r="B45" s="389" t="s">
        <v>211</v>
      </c>
      <c r="C45" s="390"/>
      <c r="D45" s="390"/>
      <c r="E45" s="390"/>
      <c r="F45" s="391"/>
      <c r="G45" s="289">
        <v>1</v>
      </c>
      <c r="H45" s="290">
        <v>10</v>
      </c>
      <c r="I45" s="410">
        <v>2019</v>
      </c>
      <c r="J45" s="411"/>
      <c r="K45" s="412" t="str">
        <f>K44</f>
        <v>29760 - 80930</v>
      </c>
      <c r="L45" s="410"/>
      <c r="M45" s="411"/>
      <c r="N45" s="464">
        <f t="shared" si="0"/>
        <v>36070</v>
      </c>
      <c r="O45" s="465"/>
      <c r="P45" s="399" t="str">
        <f>P44</f>
        <v>54220 - 133630</v>
      </c>
      <c r="Q45" s="400"/>
      <c r="R45" s="401"/>
      <c r="S45" s="464">
        <f t="shared" si="1"/>
        <v>58850</v>
      </c>
      <c r="T45" s="465"/>
      <c r="U45" s="111"/>
      <c r="V45" s="41"/>
      <c r="W45" s="41"/>
      <c r="X45" s="41"/>
      <c r="Y45" s="41"/>
      <c r="Z45" s="41"/>
      <c r="AA45" s="41"/>
      <c r="AB45" s="41"/>
      <c r="AC45" s="41"/>
      <c r="AD45" s="67"/>
    </row>
    <row r="46" spans="2:36" ht="22.5" customHeight="1" thickBot="1">
      <c r="B46" s="389" t="s">
        <v>211</v>
      </c>
      <c r="C46" s="390"/>
      <c r="D46" s="390"/>
      <c r="E46" s="390"/>
      <c r="F46" s="391"/>
      <c r="G46" s="289">
        <v>1</v>
      </c>
      <c r="H46" s="290">
        <v>10</v>
      </c>
      <c r="I46" s="410">
        <v>2020</v>
      </c>
      <c r="J46" s="411"/>
      <c r="K46" s="412" t="str">
        <f>K45</f>
        <v>29760 - 80930</v>
      </c>
      <c r="L46" s="410"/>
      <c r="M46" s="411"/>
      <c r="N46" s="464">
        <f t="shared" si="0"/>
        <v>37100</v>
      </c>
      <c r="O46" s="465"/>
      <c r="P46" s="399" t="str">
        <f>P45</f>
        <v>54220 - 133630</v>
      </c>
      <c r="Q46" s="400"/>
      <c r="R46" s="401"/>
      <c r="S46" s="464">
        <f t="shared" si="1"/>
        <v>60480</v>
      </c>
      <c r="T46" s="465"/>
      <c r="U46" s="111"/>
      <c r="V46" s="41"/>
      <c r="W46" s="41"/>
      <c r="X46" s="41"/>
      <c r="Y46" s="41"/>
      <c r="Z46" s="41"/>
      <c r="AA46" s="41"/>
      <c r="AB46" s="41"/>
      <c r="AC46" s="41"/>
      <c r="AD46" s="67"/>
    </row>
    <row r="47" spans="2:36" ht="22.5" customHeight="1" thickBot="1">
      <c r="B47" s="389" t="s">
        <v>216</v>
      </c>
      <c r="C47" s="390"/>
      <c r="D47" s="390"/>
      <c r="E47" s="390"/>
      <c r="F47" s="391"/>
      <c r="G47" s="289">
        <v>17</v>
      </c>
      <c r="H47" s="290">
        <v>10</v>
      </c>
      <c r="I47" s="410">
        <v>2020</v>
      </c>
      <c r="J47" s="411"/>
      <c r="K47" s="412" t="str">
        <f>K46</f>
        <v>29760 - 80930</v>
      </c>
      <c r="L47" s="410"/>
      <c r="M47" s="411"/>
      <c r="N47" s="464">
        <f t="shared" si="0"/>
        <v>38130</v>
      </c>
      <c r="O47" s="465"/>
      <c r="P47" s="399" t="str">
        <f>P46</f>
        <v>54220 - 133630</v>
      </c>
      <c r="Q47" s="400"/>
      <c r="R47" s="401"/>
      <c r="S47" s="464">
        <f t="shared" si="1"/>
        <v>62110</v>
      </c>
      <c r="T47" s="465"/>
      <c r="U47" s="111"/>
      <c r="V47" s="41"/>
      <c r="W47" s="41"/>
      <c r="X47" s="41"/>
      <c r="Y47" s="41"/>
      <c r="Z47" s="41"/>
      <c r="AA47" s="41"/>
      <c r="AB47" s="41"/>
      <c r="AC47" s="41"/>
      <c r="AD47" s="67"/>
    </row>
    <row r="48" spans="2:36" ht="22.5" customHeight="1" thickBot="1">
      <c r="B48" s="389" t="s">
        <v>219</v>
      </c>
      <c r="C48" s="390"/>
      <c r="D48" s="390"/>
      <c r="E48" s="390"/>
      <c r="F48" s="391"/>
      <c r="G48" s="289">
        <v>2</v>
      </c>
      <c r="H48" s="290">
        <v>6</v>
      </c>
      <c r="I48" s="410">
        <v>2021</v>
      </c>
      <c r="J48" s="411"/>
      <c r="K48" s="412" t="str">
        <f>K47</f>
        <v>29760 - 80930</v>
      </c>
      <c r="L48" s="410"/>
      <c r="M48" s="411"/>
      <c r="N48" s="464">
        <f t="shared" si="0"/>
        <v>38130</v>
      </c>
      <c r="O48" s="465"/>
      <c r="P48" s="399" t="str">
        <f>P47</f>
        <v>54220 - 133630</v>
      </c>
      <c r="Q48" s="400"/>
      <c r="R48" s="401"/>
      <c r="S48" s="464">
        <f t="shared" si="1"/>
        <v>62110</v>
      </c>
      <c r="T48" s="465"/>
      <c r="U48" s="111"/>
      <c r="V48" s="41"/>
      <c r="W48" s="41"/>
      <c r="X48" s="41"/>
      <c r="Y48" s="41"/>
      <c r="Z48" s="41"/>
      <c r="AA48" s="41"/>
      <c r="AB48" s="41"/>
      <c r="AC48" s="41"/>
      <c r="AD48" s="67"/>
    </row>
    <row r="49" spans="2:30" ht="22.5" customHeight="1" thickBot="1">
      <c r="B49" s="556" t="s">
        <v>219</v>
      </c>
      <c r="C49" s="557"/>
      <c r="D49" s="557"/>
      <c r="E49" s="557"/>
      <c r="F49" s="558"/>
      <c r="G49" s="291">
        <v>1</v>
      </c>
      <c r="H49" s="292">
        <v>10</v>
      </c>
      <c r="I49" s="482">
        <v>2019</v>
      </c>
      <c r="J49" s="483"/>
      <c r="K49" s="481" t="str">
        <f>K48</f>
        <v>29760 - 80930</v>
      </c>
      <c r="L49" s="482"/>
      <c r="M49" s="483"/>
      <c r="N49" s="466">
        <f t="shared" si="0"/>
        <v>38130</v>
      </c>
      <c r="O49" s="467"/>
      <c r="P49" s="402" t="str">
        <f>P48</f>
        <v>54220 - 133630</v>
      </c>
      <c r="Q49" s="403"/>
      <c r="R49" s="404"/>
      <c r="S49" s="466">
        <f t="shared" si="1"/>
        <v>62110</v>
      </c>
      <c r="T49" s="467"/>
      <c r="U49" s="119"/>
      <c r="V49" s="79"/>
      <c r="W49" s="79"/>
      <c r="X49" s="79"/>
      <c r="Y49" s="79"/>
      <c r="Z49" s="79"/>
      <c r="AA49" s="79"/>
      <c r="AB49" s="79"/>
      <c r="AC49" s="79"/>
      <c r="AD49" s="72"/>
    </row>
    <row r="50" spans="2:30" ht="22.5" customHeight="1" thickBot="1">
      <c r="B50" s="502" t="s">
        <v>207</v>
      </c>
      <c r="C50" s="503"/>
      <c r="D50" s="503"/>
      <c r="E50" s="503"/>
      <c r="F50" s="504"/>
      <c r="G50" s="27">
        <v>1</v>
      </c>
      <c r="H50" s="28">
        <v>10</v>
      </c>
      <c r="I50" s="505">
        <v>2021</v>
      </c>
      <c r="J50" s="506"/>
      <c r="K50" s="358" t="s">
        <v>495</v>
      </c>
      <c r="L50" s="359"/>
      <c r="M50" s="359"/>
      <c r="N50" s="359"/>
      <c r="O50" s="359"/>
      <c r="P50" s="359"/>
      <c r="Q50" s="359"/>
      <c r="R50" s="359"/>
      <c r="S50" s="360"/>
      <c r="T50" s="314" t="s">
        <v>112</v>
      </c>
      <c r="U50" s="511"/>
      <c r="V50" s="512"/>
      <c r="W50" s="512"/>
      <c r="X50" s="512"/>
      <c r="Y50" s="512"/>
      <c r="Z50" s="512"/>
      <c r="AA50" s="512"/>
      <c r="AB50" s="512"/>
      <c r="AC50" s="512"/>
      <c r="AD50" s="513"/>
    </row>
    <row r="51" spans="2:30" ht="22.5" customHeight="1" thickBot="1">
      <c r="B51" s="507" t="s">
        <v>186</v>
      </c>
      <c r="C51" s="508"/>
      <c r="D51" s="508"/>
      <c r="E51" s="508"/>
      <c r="F51" s="508"/>
      <c r="G51" s="29">
        <v>30</v>
      </c>
      <c r="H51" s="30">
        <v>3</v>
      </c>
      <c r="I51" s="509">
        <v>2020</v>
      </c>
      <c r="J51" s="510"/>
      <c r="K51" s="468" t="str">
        <f>IF(T50="No","","Retired Month and Year")</f>
        <v/>
      </c>
      <c r="L51" s="469"/>
      <c r="M51" s="469"/>
      <c r="N51" s="469"/>
      <c r="O51" s="469"/>
      <c r="P51" s="470" t="s">
        <v>496</v>
      </c>
      <c r="Q51" s="471"/>
      <c r="R51" s="475" t="s">
        <v>434</v>
      </c>
      <c r="S51" s="476"/>
      <c r="T51" s="477"/>
      <c r="U51" s="514"/>
      <c r="V51" s="515"/>
      <c r="W51" s="515"/>
      <c r="X51" s="515"/>
      <c r="Y51" s="515"/>
      <c r="Z51" s="515"/>
      <c r="AA51" s="515"/>
      <c r="AB51" s="515"/>
      <c r="AC51" s="515"/>
      <c r="AD51" s="516"/>
    </row>
    <row r="52" spans="2:30" ht="22.5" customHeight="1" thickBot="1">
      <c r="B52" s="507" t="s">
        <v>187</v>
      </c>
      <c r="C52" s="508"/>
      <c r="D52" s="508"/>
      <c r="E52" s="508"/>
      <c r="F52" s="508"/>
      <c r="G52" s="29">
        <v>15</v>
      </c>
      <c r="H52" s="31">
        <v>5</v>
      </c>
      <c r="I52" s="462">
        <v>2021</v>
      </c>
      <c r="J52" s="463"/>
      <c r="K52" s="472" t="str">
        <f>IF(T50="No","Bill Period upto","")</f>
        <v>Bill Period upto</v>
      </c>
      <c r="L52" s="473"/>
      <c r="M52" s="473"/>
      <c r="N52" s="473"/>
      <c r="O52" s="474"/>
      <c r="P52" s="484" t="s">
        <v>413</v>
      </c>
      <c r="Q52" s="485"/>
      <c r="R52" s="478"/>
      <c r="S52" s="479"/>
      <c r="T52" s="480"/>
      <c r="U52" s="517"/>
      <c r="V52" s="518"/>
      <c r="W52" s="518"/>
      <c r="X52" s="518"/>
      <c r="Y52" s="518"/>
      <c r="Z52" s="518"/>
      <c r="AA52" s="518"/>
      <c r="AB52" s="518"/>
      <c r="AC52" s="518"/>
      <c r="AD52" s="519"/>
    </row>
    <row r="53" spans="2:30" s="32" customFormat="1" ht="30" customHeight="1">
      <c r="B53" s="357" t="s">
        <v>493</v>
      </c>
      <c r="C53" s="357"/>
      <c r="D53" s="357"/>
      <c r="E53" s="357"/>
      <c r="F53" s="357"/>
      <c r="G53" s="357"/>
      <c r="H53" s="357"/>
      <c r="I53" s="357"/>
      <c r="J53" s="357"/>
      <c r="K53" s="357"/>
      <c r="L53" s="357"/>
      <c r="M53" s="357"/>
      <c r="N53" s="357"/>
      <c r="O53" s="357"/>
      <c r="P53" s="357"/>
      <c r="Q53" s="357"/>
      <c r="R53" s="357"/>
      <c r="S53" s="357"/>
      <c r="T53" s="357"/>
    </row>
    <row r="54" spans="2:30" ht="22.5" hidden="1" customHeight="1"/>
    <row r="55" spans="2:30" ht="22.5" hidden="1" customHeight="1">
      <c r="Q55" s="33" t="s">
        <v>318</v>
      </c>
    </row>
    <row r="56" spans="2:30" ht="22.5" hidden="1" customHeight="1"/>
    <row r="57" spans="2:30" ht="22.5" hidden="1" customHeight="1"/>
    <row r="58" spans="2:30" ht="22.5" hidden="1" customHeight="1"/>
    <row r="59" spans="2:30" ht="22.5" hidden="1" customHeight="1"/>
    <row r="60" spans="2:30" ht="22.5" hidden="1" customHeight="1"/>
    <row r="61" spans="2:30" ht="22.5" hidden="1" customHeight="1"/>
    <row r="62" spans="2:30" ht="22.5" hidden="1" customHeight="1"/>
    <row r="63" spans="2:30" ht="22.5" hidden="1" customHeight="1"/>
    <row r="64" spans="2:30" ht="22.5" hidden="1" customHeight="1"/>
    <row r="65" ht="22.5" hidden="1" customHeight="1"/>
    <row r="66" ht="22.5" hidden="1" customHeight="1"/>
    <row r="67" ht="22.5" hidden="1" customHeight="1"/>
    <row r="68" ht="22.5" hidden="1" customHeight="1"/>
    <row r="69" ht="22.5" hidden="1" customHeight="1"/>
    <row r="70" ht="22.5" hidden="1" customHeight="1"/>
    <row r="71" ht="22.5" hidden="1" customHeight="1"/>
    <row r="72" ht="22.5" hidden="1" customHeight="1"/>
    <row r="73" ht="22.5" hidden="1" customHeight="1"/>
    <row r="74" ht="22.5" hidden="1" customHeight="1"/>
    <row r="75" ht="22.5" hidden="1" customHeight="1"/>
    <row r="76" ht="22.5" hidden="1" customHeight="1"/>
    <row r="77" ht="22.5" hidden="1" customHeight="1"/>
    <row r="78" ht="22.5" hidden="1" customHeight="1"/>
    <row r="79" ht="22.5" hidden="1" customHeight="1"/>
    <row r="80" ht="22.5" hidden="1" customHeight="1"/>
    <row r="81" ht="22.5" hidden="1" customHeight="1"/>
    <row r="82" ht="22.5" hidden="1" customHeight="1"/>
    <row r="83" ht="22.5" hidden="1" customHeight="1"/>
    <row r="84" ht="22.5" hidden="1" customHeight="1"/>
    <row r="85" ht="22.5" hidden="1" customHeight="1"/>
    <row r="86" ht="22.5" hidden="1" customHeight="1"/>
    <row r="87" ht="22.5" hidden="1" customHeight="1"/>
    <row r="88" ht="22.5" hidden="1" customHeight="1"/>
    <row r="89" ht="22.5" hidden="1" customHeight="1"/>
    <row r="90" ht="22.5" hidden="1" customHeight="1"/>
    <row r="91" ht="22.5" hidden="1" customHeight="1"/>
    <row r="92" ht="22.5" hidden="1" customHeight="1"/>
    <row r="93" ht="22.5" hidden="1" customHeight="1"/>
    <row r="94" ht="22.5" hidden="1" customHeight="1"/>
    <row r="95" ht="22.5" hidden="1" customHeight="1"/>
    <row r="96" ht="22.5" hidden="1" customHeight="1"/>
    <row r="97" spans="37:88" ht="22.5" hidden="1" customHeight="1"/>
    <row r="98" spans="37:88" ht="22.5" hidden="1" customHeight="1"/>
    <row r="99" spans="37:88" ht="22.5" hidden="1" customHeight="1"/>
    <row r="100" spans="37:88" ht="22.5" hidden="1" customHeight="1"/>
    <row r="101" spans="37:88" ht="22.5" hidden="1" customHeight="1"/>
    <row r="102" spans="37:88" ht="22.5" hidden="1" customHeight="1"/>
    <row r="103" spans="37:88" ht="22.5" hidden="1" customHeight="1"/>
    <row r="104" spans="37:88" ht="22.5" hidden="1" customHeight="1"/>
    <row r="105" spans="37:88" ht="22.5" hidden="1" customHeight="1"/>
    <row r="106" spans="37:88" ht="22.5" hidden="1" customHeight="1">
      <c r="AV106" s="33">
        <v>12</v>
      </c>
      <c r="AW106" s="33">
        <v>11</v>
      </c>
    </row>
    <row r="107" spans="37:88" ht="22.5" hidden="1" customHeight="1">
      <c r="AV107" s="33">
        <v>14.5</v>
      </c>
      <c r="AW107" s="33">
        <v>13</v>
      </c>
    </row>
    <row r="108" spans="37:88" ht="22.5" hidden="1" customHeight="1">
      <c r="AV108" s="33">
        <v>20</v>
      </c>
      <c r="AW108" s="33">
        <v>17</v>
      </c>
    </row>
    <row r="109" spans="37:88" ht="22.5" hidden="1" customHeight="1">
      <c r="AV109" s="33">
        <v>30</v>
      </c>
      <c r="AW109" s="33">
        <v>24</v>
      </c>
    </row>
    <row r="110" spans="37:88" ht="22.5" hidden="1" customHeight="1">
      <c r="AK110" s="33" t="s">
        <v>59</v>
      </c>
      <c r="AV110" s="33">
        <v>0</v>
      </c>
      <c r="AW110" s="33">
        <v>0</v>
      </c>
    </row>
    <row r="111" spans="37:88" ht="22.5" hidden="1" customHeight="1">
      <c r="AK111" s="33" t="s">
        <v>112</v>
      </c>
      <c r="BS111" s="40">
        <v>19000</v>
      </c>
      <c r="BT111" s="33">
        <v>-2</v>
      </c>
    </row>
    <row r="112" spans="37:88" ht="22.5" hidden="1" customHeight="1">
      <c r="AU112" s="41"/>
      <c r="AV112" s="41"/>
      <c r="AW112" s="41"/>
      <c r="BP112" s="361" t="s">
        <v>211</v>
      </c>
      <c r="BQ112" s="361"/>
      <c r="BR112" s="486"/>
      <c r="BS112" s="40">
        <v>19640</v>
      </c>
      <c r="BT112" s="33">
        <v>-1</v>
      </c>
      <c r="CD112" s="40"/>
      <c r="CJ112" s="33" t="str">
        <f>VLOOKUP(G41,CJ114:CK145,2,0)</f>
        <v>29760-820-30580-880-33220-950-36070-1030-39160-1110-42490-1190-46060-1270-49870-1360-53950-1460-58330-1560-63010-1660-67990-1760-73270-1880-78910-2020-80930 (38)</v>
      </c>
    </row>
    <row r="113" spans="37:90" ht="22.5" hidden="1" customHeight="1" thickBot="1">
      <c r="AV113" s="33" t="s">
        <v>208</v>
      </c>
      <c r="AW113" s="33">
        <v>1</v>
      </c>
      <c r="BC113" s="33">
        <v>30.391999999999999</v>
      </c>
      <c r="BD113" s="33">
        <v>30</v>
      </c>
      <c r="BP113" s="487"/>
      <c r="BQ113" s="487"/>
      <c r="BR113" s="488"/>
      <c r="BS113" s="40">
        <v>20280</v>
      </c>
      <c r="BT113" s="33">
        <v>0</v>
      </c>
      <c r="CC113" s="42"/>
      <c r="CD113" s="42"/>
    </row>
    <row r="114" spans="37:90" ht="22.5" hidden="1" customHeight="1">
      <c r="AK114" s="33" t="s">
        <v>194</v>
      </c>
      <c r="AL114" s="33" t="s">
        <v>325</v>
      </c>
      <c r="AM114" s="33" t="str">
        <f>VLOOKUP(G4,AK114:AL116,2,0)</f>
        <v>his</v>
      </c>
      <c r="AN114" s="33">
        <v>1</v>
      </c>
      <c r="AO114" s="33" t="s">
        <v>399</v>
      </c>
      <c r="AV114" s="33" t="s">
        <v>209</v>
      </c>
      <c r="AW114" s="33">
        <v>2</v>
      </c>
      <c r="BA114" s="43">
        <v>13000</v>
      </c>
      <c r="BB114" s="43">
        <v>19000</v>
      </c>
      <c r="BC114" s="33">
        <f>ROUND(BA114*BC$113%,0.1)</f>
        <v>3951</v>
      </c>
      <c r="BD114" s="44">
        <f>BA114*BD$113%</f>
        <v>3900</v>
      </c>
      <c r="BE114" s="44">
        <f>SUM(BA114,BC114:BD114)</f>
        <v>20851</v>
      </c>
      <c r="BF114" s="45">
        <v>20920</v>
      </c>
      <c r="BG114" s="33" t="s">
        <v>172</v>
      </c>
      <c r="BK114" s="46">
        <v>20920</v>
      </c>
      <c r="BL114" s="46">
        <v>21580</v>
      </c>
      <c r="BM114" s="46">
        <v>22240</v>
      </c>
      <c r="BO114" s="33">
        <v>1</v>
      </c>
      <c r="BP114" s="43">
        <v>13000</v>
      </c>
      <c r="BQ114" s="43">
        <v>13390</v>
      </c>
      <c r="BR114" s="43">
        <v>13780</v>
      </c>
      <c r="BS114" s="45">
        <v>20920</v>
      </c>
      <c r="BT114" s="33">
        <v>1</v>
      </c>
      <c r="BW114" s="33">
        <v>1</v>
      </c>
      <c r="BX114" s="47">
        <v>19000</v>
      </c>
      <c r="BY114" s="48">
        <v>19640</v>
      </c>
      <c r="BZ114" s="49">
        <v>20280</v>
      </c>
      <c r="CA114" s="33">
        <v>1</v>
      </c>
      <c r="CG114" s="40">
        <v>19000</v>
      </c>
      <c r="CH114" s="33">
        <v>1</v>
      </c>
      <c r="CJ114" s="50" t="s">
        <v>232</v>
      </c>
      <c r="CK114" s="51" t="s">
        <v>334</v>
      </c>
      <c r="CL114" s="52"/>
    </row>
    <row r="115" spans="37:90" ht="22.5" hidden="1" customHeight="1">
      <c r="AK115" s="33" t="s">
        <v>195</v>
      </c>
      <c r="AL115" s="33" t="s">
        <v>326</v>
      </c>
      <c r="AN115" s="33">
        <v>2</v>
      </c>
      <c r="AO115" s="33" t="s">
        <v>400</v>
      </c>
      <c r="AV115" s="33" t="s">
        <v>206</v>
      </c>
      <c r="AW115" s="33">
        <v>3</v>
      </c>
      <c r="BA115" s="43">
        <v>13390</v>
      </c>
      <c r="BB115" s="43">
        <v>19000</v>
      </c>
      <c r="BC115" s="33">
        <f t="shared" ref="BC115:BC178" si="2">ROUND(BA115*BC$113%,0.1)</f>
        <v>4069</v>
      </c>
      <c r="BD115" s="44">
        <f t="shared" ref="BD115:BD178" si="3">BA115*BD$113%</f>
        <v>4017</v>
      </c>
      <c r="BE115" s="44">
        <f t="shared" ref="BE115:BE178" si="4">SUM(BA115,BC115:BD115)</f>
        <v>21476</v>
      </c>
      <c r="BF115" s="45">
        <v>21580</v>
      </c>
      <c r="BG115" s="33" t="s">
        <v>172</v>
      </c>
      <c r="BH115" s="33">
        <f>BF115-BF114</f>
        <v>660</v>
      </c>
      <c r="BK115" s="46">
        <v>21580</v>
      </c>
      <c r="BL115" s="46">
        <v>22240</v>
      </c>
      <c r="BM115" s="46">
        <v>22900</v>
      </c>
      <c r="BO115" s="33">
        <v>2</v>
      </c>
      <c r="BP115" s="43">
        <v>13390</v>
      </c>
      <c r="BQ115" s="43">
        <v>13780</v>
      </c>
      <c r="BR115" s="43">
        <v>14170</v>
      </c>
      <c r="BS115" s="45">
        <v>21580</v>
      </c>
      <c r="BT115" s="33">
        <v>2</v>
      </c>
      <c r="BW115" s="33">
        <v>2</v>
      </c>
      <c r="BX115" s="53">
        <v>19640</v>
      </c>
      <c r="BY115" s="54">
        <v>20280</v>
      </c>
      <c r="BZ115" s="45">
        <v>20920</v>
      </c>
      <c r="CA115" s="33">
        <v>2</v>
      </c>
      <c r="CG115" s="40">
        <v>19640</v>
      </c>
      <c r="CH115" s="33">
        <v>2</v>
      </c>
      <c r="CJ115" s="55" t="s">
        <v>233</v>
      </c>
      <c r="CK115" s="56" t="s">
        <v>336</v>
      </c>
      <c r="CL115" s="52"/>
    </row>
    <row r="116" spans="37:90" ht="22.5" hidden="1" customHeight="1">
      <c r="AK116" s="33" t="s">
        <v>196</v>
      </c>
      <c r="AL116" s="33" t="s">
        <v>326</v>
      </c>
      <c r="AM116" s="33" t="str">
        <f>VLOOKUP(G14,AK114:AL116,2,0)</f>
        <v>his</v>
      </c>
      <c r="AN116" s="33">
        <v>3</v>
      </c>
      <c r="AO116" s="33" t="s">
        <v>401</v>
      </c>
      <c r="BA116" s="43">
        <v>13780</v>
      </c>
      <c r="BB116" s="43">
        <v>19640</v>
      </c>
      <c r="BC116" s="33">
        <f t="shared" si="2"/>
        <v>4188</v>
      </c>
      <c r="BD116" s="44">
        <f t="shared" si="3"/>
        <v>4134</v>
      </c>
      <c r="BE116" s="44">
        <f t="shared" si="4"/>
        <v>22102</v>
      </c>
      <c r="BF116" s="45">
        <v>22240</v>
      </c>
      <c r="BG116" s="33" t="s">
        <v>172</v>
      </c>
      <c r="BH116" s="33">
        <f t="shared" ref="BH116:BH179" si="5">BF116-BF115</f>
        <v>660</v>
      </c>
      <c r="BK116" s="46">
        <v>22240</v>
      </c>
      <c r="BL116" s="46">
        <v>22900</v>
      </c>
      <c r="BM116" s="46">
        <v>23590</v>
      </c>
      <c r="BO116" s="33">
        <v>3</v>
      </c>
      <c r="BP116" s="43">
        <v>13780</v>
      </c>
      <c r="BQ116" s="43">
        <v>14170</v>
      </c>
      <c r="BR116" s="43">
        <v>14600</v>
      </c>
      <c r="BS116" s="45">
        <v>22240</v>
      </c>
      <c r="BT116" s="33">
        <v>3</v>
      </c>
      <c r="BW116" s="33">
        <v>3</v>
      </c>
      <c r="BX116" s="53">
        <v>20280</v>
      </c>
      <c r="BY116" s="45">
        <v>20920</v>
      </c>
      <c r="BZ116" s="45">
        <v>21580</v>
      </c>
      <c r="CA116" s="33">
        <v>3</v>
      </c>
      <c r="CG116" s="40">
        <v>20280</v>
      </c>
      <c r="CH116" s="33">
        <v>3</v>
      </c>
      <c r="CJ116" s="55" t="s">
        <v>234</v>
      </c>
      <c r="CK116" s="56" t="s">
        <v>338</v>
      </c>
      <c r="CL116" s="52"/>
    </row>
    <row r="117" spans="37:90" ht="22.5" hidden="1" customHeight="1">
      <c r="AN117" s="33">
        <v>4</v>
      </c>
      <c r="AO117" s="33" t="s">
        <v>402</v>
      </c>
      <c r="AV117" s="57" t="s">
        <v>198</v>
      </c>
      <c r="BA117" s="43">
        <v>14170</v>
      </c>
      <c r="BB117" s="43">
        <v>19640</v>
      </c>
      <c r="BC117" s="33">
        <f t="shared" si="2"/>
        <v>4307</v>
      </c>
      <c r="BD117" s="44">
        <f t="shared" si="3"/>
        <v>4251</v>
      </c>
      <c r="BE117" s="44">
        <f t="shared" si="4"/>
        <v>22728</v>
      </c>
      <c r="BF117" s="45">
        <v>22900</v>
      </c>
      <c r="BG117" s="33" t="s">
        <v>172</v>
      </c>
      <c r="BH117" s="33">
        <f t="shared" si="5"/>
        <v>660</v>
      </c>
      <c r="BK117" s="46">
        <v>22900</v>
      </c>
      <c r="BL117" s="46">
        <v>23590</v>
      </c>
      <c r="BM117" s="46">
        <v>24280</v>
      </c>
      <c r="BO117" s="33">
        <v>4</v>
      </c>
      <c r="BP117" s="43">
        <v>14170</v>
      </c>
      <c r="BQ117" s="43">
        <v>14600</v>
      </c>
      <c r="BR117" s="43">
        <v>15030</v>
      </c>
      <c r="BS117" s="45">
        <v>22900</v>
      </c>
      <c r="BT117" s="33">
        <v>4</v>
      </c>
      <c r="BW117" s="33">
        <v>4</v>
      </c>
      <c r="BX117" s="45">
        <v>20920</v>
      </c>
      <c r="BY117" s="45">
        <v>21580</v>
      </c>
      <c r="BZ117" s="45">
        <v>22240</v>
      </c>
      <c r="CA117" s="33">
        <v>4</v>
      </c>
      <c r="CG117" s="45">
        <v>20920</v>
      </c>
      <c r="CH117" s="33">
        <v>4</v>
      </c>
      <c r="CJ117" s="55" t="s">
        <v>235</v>
      </c>
      <c r="CK117" s="56" t="s">
        <v>340</v>
      </c>
      <c r="CL117" s="52"/>
    </row>
    <row r="118" spans="37:90" ht="22.5" hidden="1" customHeight="1">
      <c r="AN118" s="33">
        <v>5</v>
      </c>
      <c r="AO118" s="33" t="s">
        <v>403</v>
      </c>
      <c r="AV118" s="33">
        <v>15</v>
      </c>
      <c r="BA118" s="43">
        <v>14600</v>
      </c>
      <c r="BB118" s="43">
        <v>20280</v>
      </c>
      <c r="BC118" s="33">
        <f t="shared" si="2"/>
        <v>4437</v>
      </c>
      <c r="BD118" s="44">
        <f t="shared" si="3"/>
        <v>4380</v>
      </c>
      <c r="BE118" s="44">
        <f t="shared" si="4"/>
        <v>23417</v>
      </c>
      <c r="BF118" s="45">
        <v>23590</v>
      </c>
      <c r="BG118" s="33" t="s">
        <v>172</v>
      </c>
      <c r="BH118" s="33">
        <f t="shared" si="5"/>
        <v>690</v>
      </c>
      <c r="BK118" s="46">
        <v>23590</v>
      </c>
      <c r="BL118" s="46">
        <v>24280</v>
      </c>
      <c r="BM118" s="46">
        <v>24970</v>
      </c>
      <c r="BO118" s="33">
        <v>5</v>
      </c>
      <c r="BP118" s="43">
        <v>14600</v>
      </c>
      <c r="BQ118" s="43">
        <v>15030</v>
      </c>
      <c r="BR118" s="43">
        <v>15460</v>
      </c>
      <c r="BS118" s="45">
        <v>23590</v>
      </c>
      <c r="BT118" s="33">
        <v>5</v>
      </c>
      <c r="BW118" s="33">
        <v>5</v>
      </c>
      <c r="BX118" s="45">
        <v>21580</v>
      </c>
      <c r="BY118" s="45">
        <v>22240</v>
      </c>
      <c r="BZ118" s="45">
        <v>22900</v>
      </c>
      <c r="CA118" s="33">
        <v>5</v>
      </c>
      <c r="CG118" s="45">
        <v>21580</v>
      </c>
      <c r="CH118" s="33">
        <v>5</v>
      </c>
      <c r="CJ118" s="55" t="s">
        <v>236</v>
      </c>
      <c r="CK118" s="56" t="s">
        <v>342</v>
      </c>
      <c r="CL118" s="52"/>
    </row>
    <row r="119" spans="37:90" ht="22.5" hidden="1" customHeight="1">
      <c r="AK119" s="58" t="s">
        <v>197</v>
      </c>
      <c r="AL119" s="33">
        <v>1</v>
      </c>
      <c r="AV119" s="33">
        <v>30</v>
      </c>
      <c r="BA119" s="43">
        <v>15030</v>
      </c>
      <c r="BB119" s="43">
        <v>20920</v>
      </c>
      <c r="BC119" s="33">
        <f t="shared" si="2"/>
        <v>4568</v>
      </c>
      <c r="BD119" s="44">
        <f t="shared" si="3"/>
        <v>4509</v>
      </c>
      <c r="BE119" s="44">
        <f t="shared" si="4"/>
        <v>24107</v>
      </c>
      <c r="BF119" s="45">
        <v>24280</v>
      </c>
      <c r="BG119" s="33" t="s">
        <v>172</v>
      </c>
      <c r="BH119" s="33">
        <f t="shared" si="5"/>
        <v>690</v>
      </c>
      <c r="BK119" s="46">
        <v>24280</v>
      </c>
      <c r="BL119" s="46">
        <v>24970</v>
      </c>
      <c r="BM119" s="46">
        <v>25690</v>
      </c>
      <c r="BO119" s="33">
        <v>6</v>
      </c>
      <c r="BP119" s="43">
        <v>15030</v>
      </c>
      <c r="BQ119" s="43">
        <v>15460</v>
      </c>
      <c r="BR119" s="43">
        <v>15930</v>
      </c>
      <c r="BS119" s="45">
        <v>24280</v>
      </c>
      <c r="BT119" s="33">
        <v>6</v>
      </c>
      <c r="BW119" s="33">
        <v>6</v>
      </c>
      <c r="BX119" s="45">
        <v>22240</v>
      </c>
      <c r="BY119" s="45">
        <v>22900</v>
      </c>
      <c r="BZ119" s="45">
        <v>23590</v>
      </c>
      <c r="CA119" s="33">
        <v>6</v>
      </c>
      <c r="CG119" s="45">
        <v>22240</v>
      </c>
      <c r="CH119" s="33">
        <v>6</v>
      </c>
      <c r="CJ119" s="55" t="s">
        <v>237</v>
      </c>
      <c r="CK119" s="56" t="s">
        <v>344</v>
      </c>
      <c r="CL119" s="52"/>
    </row>
    <row r="120" spans="37:90" ht="22.5" hidden="1" customHeight="1">
      <c r="AK120" s="41" t="s">
        <v>497</v>
      </c>
      <c r="AL120" s="41">
        <v>2</v>
      </c>
      <c r="AM120" s="41"/>
      <c r="AN120" s="41"/>
      <c r="AO120" s="41"/>
      <c r="AP120" s="41"/>
      <c r="AQ120" s="41"/>
      <c r="AR120" s="41"/>
      <c r="AS120" s="41"/>
      <c r="AT120" s="41"/>
      <c r="BA120" s="43">
        <v>15460</v>
      </c>
      <c r="BB120" s="43">
        <v>21580</v>
      </c>
      <c r="BC120" s="33">
        <f t="shared" si="2"/>
        <v>4699</v>
      </c>
      <c r="BD120" s="44">
        <f t="shared" si="3"/>
        <v>4638</v>
      </c>
      <c r="BE120" s="44">
        <f t="shared" si="4"/>
        <v>24797</v>
      </c>
      <c r="BF120" s="45">
        <v>24970</v>
      </c>
      <c r="BG120" s="33" t="s">
        <v>172</v>
      </c>
      <c r="BH120" s="33">
        <f t="shared" si="5"/>
        <v>690</v>
      </c>
      <c r="BK120" s="46">
        <v>24970</v>
      </c>
      <c r="BL120" s="46">
        <v>25690</v>
      </c>
      <c r="BM120" s="46">
        <v>26410</v>
      </c>
      <c r="BO120" s="33">
        <v>7</v>
      </c>
      <c r="BP120" s="43">
        <v>15460</v>
      </c>
      <c r="BQ120" s="43">
        <v>15930</v>
      </c>
      <c r="BR120" s="43">
        <v>16400</v>
      </c>
      <c r="BS120" s="45">
        <v>24970</v>
      </c>
      <c r="BT120" s="33">
        <v>7</v>
      </c>
      <c r="BW120" s="33">
        <v>7</v>
      </c>
      <c r="BX120" s="45">
        <v>22900</v>
      </c>
      <c r="BY120" s="45">
        <v>23590</v>
      </c>
      <c r="BZ120" s="45">
        <v>24280</v>
      </c>
      <c r="CA120" s="33">
        <v>7</v>
      </c>
      <c r="CG120" s="45">
        <v>22900</v>
      </c>
      <c r="CH120" s="33">
        <v>7</v>
      </c>
      <c r="CJ120" s="55" t="s">
        <v>238</v>
      </c>
      <c r="CK120" s="56" t="s">
        <v>346</v>
      </c>
      <c r="CL120" s="52"/>
    </row>
    <row r="121" spans="37:90" ht="22.5" hidden="1" customHeight="1">
      <c r="AK121" s="41" t="s">
        <v>182</v>
      </c>
      <c r="AL121" s="33">
        <v>3</v>
      </c>
      <c r="AU121" s="33">
        <v>1</v>
      </c>
      <c r="AV121" s="33" t="s">
        <v>219</v>
      </c>
      <c r="AX121" s="33">
        <v>1</v>
      </c>
      <c r="BA121" s="43">
        <v>15930</v>
      </c>
      <c r="BB121" s="43">
        <v>22240</v>
      </c>
      <c r="BC121" s="33">
        <f t="shared" si="2"/>
        <v>4841</v>
      </c>
      <c r="BD121" s="44">
        <f t="shared" si="3"/>
        <v>4779</v>
      </c>
      <c r="BE121" s="44">
        <f t="shared" si="4"/>
        <v>25550</v>
      </c>
      <c r="BF121" s="45">
        <v>25690</v>
      </c>
      <c r="BG121" s="33" t="s">
        <v>172</v>
      </c>
      <c r="BH121" s="33">
        <f t="shared" si="5"/>
        <v>720</v>
      </c>
      <c r="BK121" s="46">
        <v>25690</v>
      </c>
      <c r="BL121" s="46">
        <v>26410</v>
      </c>
      <c r="BM121" s="46">
        <v>27130</v>
      </c>
      <c r="BO121" s="33">
        <v>8</v>
      </c>
      <c r="BP121" s="43">
        <v>15930</v>
      </c>
      <c r="BQ121" s="43">
        <v>16400</v>
      </c>
      <c r="BR121" s="43">
        <v>16870</v>
      </c>
      <c r="BS121" s="45">
        <v>25690</v>
      </c>
      <c r="BT121" s="33">
        <v>8</v>
      </c>
      <c r="BW121" s="33">
        <v>8</v>
      </c>
      <c r="BX121" s="45">
        <v>23590</v>
      </c>
      <c r="BY121" s="45">
        <v>24280</v>
      </c>
      <c r="BZ121" s="45">
        <v>24970</v>
      </c>
      <c r="CA121" s="33">
        <v>8</v>
      </c>
      <c r="CG121" s="45">
        <v>23590</v>
      </c>
      <c r="CH121" s="33">
        <v>8</v>
      </c>
      <c r="CJ121" s="55" t="s">
        <v>239</v>
      </c>
      <c r="CK121" s="56" t="s">
        <v>348</v>
      </c>
      <c r="CL121" s="52"/>
    </row>
    <row r="122" spans="37:90" ht="22.5" hidden="1" customHeight="1">
      <c r="AK122" s="33" t="s">
        <v>319</v>
      </c>
      <c r="AL122" s="33">
        <v>4</v>
      </c>
      <c r="AT122" s="33" t="s">
        <v>333</v>
      </c>
      <c r="AU122" s="33">
        <v>2</v>
      </c>
      <c r="AV122" s="33" t="s">
        <v>211</v>
      </c>
      <c r="AX122" s="33">
        <v>2</v>
      </c>
      <c r="BA122" s="43">
        <v>16400</v>
      </c>
      <c r="BB122" s="43">
        <v>22900</v>
      </c>
      <c r="BC122" s="33">
        <f t="shared" si="2"/>
        <v>4984</v>
      </c>
      <c r="BD122" s="44">
        <f t="shared" si="3"/>
        <v>4920</v>
      </c>
      <c r="BE122" s="44">
        <f t="shared" si="4"/>
        <v>26304</v>
      </c>
      <c r="BF122" s="45">
        <v>26410</v>
      </c>
      <c r="BG122" s="33" t="s">
        <v>172</v>
      </c>
      <c r="BH122" s="33">
        <f t="shared" si="5"/>
        <v>720</v>
      </c>
      <c r="BK122" s="46">
        <v>26410</v>
      </c>
      <c r="BL122" s="46">
        <v>27130</v>
      </c>
      <c r="BM122" s="46">
        <v>27880</v>
      </c>
      <c r="BO122" s="33">
        <v>9</v>
      </c>
      <c r="BP122" s="43">
        <v>16400</v>
      </c>
      <c r="BQ122" s="43">
        <v>16870</v>
      </c>
      <c r="BR122" s="43">
        <v>17380</v>
      </c>
      <c r="BS122" s="45">
        <v>26410</v>
      </c>
      <c r="BT122" s="33">
        <v>9</v>
      </c>
      <c r="BW122" s="33">
        <v>9</v>
      </c>
      <c r="BX122" s="45">
        <v>24280</v>
      </c>
      <c r="BY122" s="45">
        <v>24970</v>
      </c>
      <c r="BZ122" s="45">
        <v>25690</v>
      </c>
      <c r="CA122" s="33">
        <v>9</v>
      </c>
      <c r="CG122" s="45">
        <v>24280</v>
      </c>
      <c r="CH122" s="33">
        <v>9</v>
      </c>
      <c r="CJ122" s="55" t="s">
        <v>240</v>
      </c>
      <c r="CK122" s="56" t="s">
        <v>350</v>
      </c>
      <c r="CL122" s="52"/>
    </row>
    <row r="123" spans="37:90" ht="22.5" hidden="1" customHeight="1">
      <c r="AK123" s="33" t="str">
        <f>IF(AM199=4,"Select","")</f>
        <v/>
      </c>
      <c r="AT123" s="33" t="s">
        <v>330</v>
      </c>
      <c r="AU123" s="33">
        <v>3</v>
      </c>
      <c r="AV123" s="33" t="s">
        <v>215</v>
      </c>
      <c r="AX123" s="33">
        <v>3</v>
      </c>
      <c r="BA123" s="43">
        <v>16870</v>
      </c>
      <c r="BB123" s="43">
        <v>23590</v>
      </c>
      <c r="BC123" s="33">
        <f t="shared" si="2"/>
        <v>5127</v>
      </c>
      <c r="BD123" s="44">
        <f t="shared" si="3"/>
        <v>5061</v>
      </c>
      <c r="BE123" s="44">
        <f t="shared" si="4"/>
        <v>27058</v>
      </c>
      <c r="BF123" s="45">
        <v>27130</v>
      </c>
      <c r="BG123" s="33" t="s">
        <v>172</v>
      </c>
      <c r="BH123" s="33">
        <f t="shared" si="5"/>
        <v>720</v>
      </c>
      <c r="BK123" s="46">
        <v>27130</v>
      </c>
      <c r="BL123" s="46">
        <v>27880</v>
      </c>
      <c r="BM123" s="46">
        <v>28630</v>
      </c>
      <c r="BO123" s="33">
        <v>10</v>
      </c>
      <c r="BP123" s="43">
        <v>16870</v>
      </c>
      <c r="BQ123" s="43">
        <v>17380</v>
      </c>
      <c r="BR123" s="43">
        <v>17890</v>
      </c>
      <c r="BS123" s="45">
        <v>27130</v>
      </c>
      <c r="BT123" s="33">
        <v>10</v>
      </c>
      <c r="BW123" s="33">
        <v>10</v>
      </c>
      <c r="BX123" s="45">
        <v>24970</v>
      </c>
      <c r="BY123" s="45">
        <v>25690</v>
      </c>
      <c r="BZ123" s="45">
        <v>26410</v>
      </c>
      <c r="CA123" s="33">
        <v>10</v>
      </c>
      <c r="CG123" s="45">
        <v>24970</v>
      </c>
      <c r="CH123" s="33">
        <v>10</v>
      </c>
      <c r="CJ123" s="55" t="s">
        <v>241</v>
      </c>
      <c r="CK123" s="56" t="s">
        <v>352</v>
      </c>
      <c r="CL123" s="52"/>
    </row>
    <row r="124" spans="37:90" ht="22.5" hidden="1" customHeight="1">
      <c r="AK124" s="33" t="str">
        <f>IF(AM199=4,"Aug, 2018","")</f>
        <v/>
      </c>
      <c r="AL124" s="59"/>
      <c r="AT124" s="33" t="s">
        <v>331</v>
      </c>
      <c r="AU124" s="33">
        <v>4</v>
      </c>
      <c r="AV124" s="33" t="s">
        <v>217</v>
      </c>
      <c r="AX124" s="33">
        <v>4</v>
      </c>
      <c r="BA124" s="43">
        <v>17380</v>
      </c>
      <c r="BB124" s="43">
        <v>24280</v>
      </c>
      <c r="BC124" s="33">
        <f t="shared" si="2"/>
        <v>5282</v>
      </c>
      <c r="BD124" s="44">
        <f t="shared" si="3"/>
        <v>5214</v>
      </c>
      <c r="BE124" s="44">
        <f t="shared" si="4"/>
        <v>27876</v>
      </c>
      <c r="BF124" s="45">
        <v>27880</v>
      </c>
      <c r="BG124" s="33" t="s">
        <v>172</v>
      </c>
      <c r="BH124" s="33">
        <f t="shared" si="5"/>
        <v>750</v>
      </c>
      <c r="BK124" s="46">
        <v>27880</v>
      </c>
      <c r="BL124" s="46">
        <v>28630</v>
      </c>
      <c r="BM124" s="46">
        <v>29380</v>
      </c>
      <c r="BO124" s="33">
        <v>11</v>
      </c>
      <c r="BP124" s="43">
        <v>17380</v>
      </c>
      <c r="BQ124" s="43">
        <v>17890</v>
      </c>
      <c r="BR124" s="43">
        <v>18400</v>
      </c>
      <c r="BS124" s="45">
        <v>27880</v>
      </c>
      <c r="BT124" s="33">
        <v>11</v>
      </c>
      <c r="BW124" s="33">
        <v>11</v>
      </c>
      <c r="BX124" s="45">
        <v>25690</v>
      </c>
      <c r="BY124" s="45">
        <v>26410</v>
      </c>
      <c r="BZ124" s="45">
        <v>27130</v>
      </c>
      <c r="CA124" s="33">
        <v>11</v>
      </c>
      <c r="CG124" s="45">
        <v>25690</v>
      </c>
      <c r="CH124" s="33">
        <v>11</v>
      </c>
      <c r="CJ124" s="55" t="s">
        <v>242</v>
      </c>
      <c r="CK124" s="56" t="s">
        <v>354</v>
      </c>
      <c r="CL124" s="52"/>
    </row>
    <row r="125" spans="37:90" ht="22.5" hidden="1" customHeight="1">
      <c r="AK125" s="33" t="str">
        <f>IF(AM199=4,"Sep, 2018","")</f>
        <v/>
      </c>
      <c r="AL125" s="59"/>
      <c r="AT125" s="33" t="s">
        <v>456</v>
      </c>
      <c r="AU125" s="33">
        <v>5</v>
      </c>
      <c r="AV125" s="33" t="s">
        <v>216</v>
      </c>
      <c r="AX125" s="33">
        <v>5</v>
      </c>
      <c r="BA125" s="43">
        <v>17890</v>
      </c>
      <c r="BB125" s="43">
        <v>24970</v>
      </c>
      <c r="BC125" s="33">
        <f t="shared" si="2"/>
        <v>5437</v>
      </c>
      <c r="BD125" s="44">
        <f t="shared" si="3"/>
        <v>5367</v>
      </c>
      <c r="BE125" s="44">
        <f t="shared" si="4"/>
        <v>28694</v>
      </c>
      <c r="BF125" s="45">
        <v>29380</v>
      </c>
      <c r="BG125" s="33" t="s">
        <v>172</v>
      </c>
      <c r="BH125" s="33">
        <f t="shared" si="5"/>
        <v>1500</v>
      </c>
      <c r="BK125" s="46">
        <v>28630</v>
      </c>
      <c r="BL125" s="46">
        <v>29380</v>
      </c>
      <c r="BM125" s="46">
        <v>30210</v>
      </c>
      <c r="BO125" s="33">
        <v>12</v>
      </c>
      <c r="BP125" s="43">
        <v>17890</v>
      </c>
      <c r="BQ125" s="43">
        <v>18400</v>
      </c>
      <c r="BR125" s="43">
        <v>18950</v>
      </c>
      <c r="BS125" s="45">
        <v>28630</v>
      </c>
      <c r="BT125" s="33">
        <v>12</v>
      </c>
      <c r="BW125" s="33">
        <v>12</v>
      </c>
      <c r="BX125" s="45">
        <v>26410</v>
      </c>
      <c r="BY125" s="45">
        <v>27130</v>
      </c>
      <c r="BZ125" s="45">
        <v>27880</v>
      </c>
      <c r="CA125" s="33">
        <v>12</v>
      </c>
      <c r="CG125" s="45">
        <v>26410</v>
      </c>
      <c r="CH125" s="33">
        <v>12</v>
      </c>
      <c r="CJ125" s="55" t="s">
        <v>243</v>
      </c>
      <c r="CK125" s="56" t="s">
        <v>356</v>
      </c>
      <c r="CL125" s="52"/>
    </row>
    <row r="126" spans="37:90" ht="22.5" hidden="1" customHeight="1">
      <c r="AK126" s="33" t="str">
        <f>IF(AM199=4,"Oct, 2018","")</f>
        <v/>
      </c>
      <c r="AL126" s="59"/>
      <c r="AT126" s="33" t="s">
        <v>332</v>
      </c>
      <c r="AU126" s="33">
        <v>6</v>
      </c>
      <c r="AV126" s="33" t="s">
        <v>218</v>
      </c>
      <c r="AX126" s="33">
        <v>6</v>
      </c>
      <c r="BA126" s="43">
        <v>18400</v>
      </c>
      <c r="BB126" s="43">
        <v>25690</v>
      </c>
      <c r="BC126" s="33">
        <f t="shared" si="2"/>
        <v>5592</v>
      </c>
      <c r="BD126" s="44">
        <f t="shared" si="3"/>
        <v>5520</v>
      </c>
      <c r="BE126" s="44">
        <f t="shared" si="4"/>
        <v>29512</v>
      </c>
      <c r="BF126" s="45">
        <v>30210</v>
      </c>
      <c r="BG126" s="33" t="s">
        <v>172</v>
      </c>
      <c r="BH126" s="33">
        <f t="shared" si="5"/>
        <v>830</v>
      </c>
      <c r="BK126" s="46">
        <v>29380</v>
      </c>
      <c r="BL126" s="46">
        <v>30210</v>
      </c>
      <c r="BM126" s="46">
        <v>31040</v>
      </c>
      <c r="BO126" s="33">
        <v>13</v>
      </c>
      <c r="BP126" s="43">
        <v>18400</v>
      </c>
      <c r="BQ126" s="43">
        <v>18950</v>
      </c>
      <c r="BR126" s="43">
        <v>19500</v>
      </c>
      <c r="BS126" s="45">
        <v>29380</v>
      </c>
      <c r="BT126" s="33">
        <v>13</v>
      </c>
      <c r="BW126" s="33">
        <v>13</v>
      </c>
      <c r="BX126" s="45">
        <v>27130</v>
      </c>
      <c r="BY126" s="45">
        <v>27880</v>
      </c>
      <c r="BZ126" s="45">
        <v>28630</v>
      </c>
      <c r="CA126" s="33">
        <v>13</v>
      </c>
      <c r="CG126" s="45">
        <v>27130</v>
      </c>
      <c r="CH126" s="33">
        <v>13</v>
      </c>
      <c r="CJ126" s="55" t="s">
        <v>244</v>
      </c>
      <c r="CK126" s="56" t="s">
        <v>358</v>
      </c>
      <c r="CL126" s="52"/>
    </row>
    <row r="127" spans="37:90" ht="22.5" hidden="1" customHeight="1">
      <c r="AK127" s="33" t="str">
        <f>IF(AM199=4,"Nov, 2018","")</f>
        <v/>
      </c>
      <c r="AL127" s="59"/>
      <c r="AU127" s="33">
        <v>7</v>
      </c>
      <c r="AV127" s="33" t="s">
        <v>212</v>
      </c>
      <c r="AX127" s="33">
        <v>7</v>
      </c>
      <c r="BA127" s="43">
        <v>18950</v>
      </c>
      <c r="BB127" s="43">
        <v>26410</v>
      </c>
      <c r="BC127" s="33">
        <f t="shared" si="2"/>
        <v>5759</v>
      </c>
      <c r="BD127" s="44">
        <f t="shared" si="3"/>
        <v>5685</v>
      </c>
      <c r="BE127" s="44">
        <f t="shared" si="4"/>
        <v>30394</v>
      </c>
      <c r="BF127" s="45">
        <v>31040</v>
      </c>
      <c r="BG127" s="33" t="s">
        <v>172</v>
      </c>
      <c r="BH127" s="33">
        <f t="shared" si="5"/>
        <v>830</v>
      </c>
      <c r="BK127" s="46">
        <v>30210</v>
      </c>
      <c r="BL127" s="46">
        <v>31040</v>
      </c>
      <c r="BM127" s="46">
        <v>31870</v>
      </c>
      <c r="BO127" s="33">
        <v>14</v>
      </c>
      <c r="BP127" s="43">
        <v>18950</v>
      </c>
      <c r="BQ127" s="43">
        <v>19500</v>
      </c>
      <c r="BR127" s="43">
        <v>20050</v>
      </c>
      <c r="BS127" s="45">
        <v>30210</v>
      </c>
      <c r="BT127" s="33">
        <v>14</v>
      </c>
      <c r="BW127" s="33">
        <v>14</v>
      </c>
      <c r="BX127" s="45">
        <v>27880</v>
      </c>
      <c r="BY127" s="45">
        <v>28630</v>
      </c>
      <c r="BZ127" s="45">
        <v>29380</v>
      </c>
      <c r="CA127" s="33">
        <v>14</v>
      </c>
      <c r="CG127" s="45">
        <v>27880</v>
      </c>
      <c r="CH127" s="33">
        <v>14</v>
      </c>
      <c r="CJ127" s="55" t="s">
        <v>245</v>
      </c>
      <c r="CK127" s="56" t="s">
        <v>360</v>
      </c>
      <c r="CL127" s="52"/>
    </row>
    <row r="128" spans="37:90" ht="22.5" hidden="1" customHeight="1">
      <c r="AK128" s="33" t="str">
        <f>IF(AM199=4,"Dec, 2018","")</f>
        <v/>
      </c>
      <c r="AL128" s="59"/>
      <c r="AU128" s="33">
        <v>8</v>
      </c>
      <c r="AV128" s="33" t="s">
        <v>213</v>
      </c>
      <c r="AX128" s="33">
        <v>8</v>
      </c>
      <c r="BA128" s="43">
        <v>19500</v>
      </c>
      <c r="BB128" s="43">
        <v>27130</v>
      </c>
      <c r="BC128" s="33">
        <f t="shared" si="2"/>
        <v>5926</v>
      </c>
      <c r="BD128" s="44">
        <f t="shared" si="3"/>
        <v>5850</v>
      </c>
      <c r="BE128" s="44">
        <f t="shared" si="4"/>
        <v>31276</v>
      </c>
      <c r="BF128" s="45">
        <v>31870</v>
      </c>
      <c r="BG128" s="33" t="s">
        <v>172</v>
      </c>
      <c r="BH128" s="33">
        <f t="shared" si="5"/>
        <v>830</v>
      </c>
      <c r="BK128" s="46">
        <v>31040</v>
      </c>
      <c r="BL128" s="46">
        <v>31870</v>
      </c>
      <c r="BM128" s="46">
        <v>32810</v>
      </c>
      <c r="BO128" s="33">
        <v>15</v>
      </c>
      <c r="BP128" s="43">
        <v>19500</v>
      </c>
      <c r="BQ128" s="43">
        <v>20050</v>
      </c>
      <c r="BR128" s="43">
        <v>20640</v>
      </c>
      <c r="BS128" s="45">
        <v>31870</v>
      </c>
      <c r="BT128" s="33">
        <v>15</v>
      </c>
      <c r="BW128" s="33">
        <v>15</v>
      </c>
      <c r="BX128" s="45">
        <v>28630</v>
      </c>
      <c r="BY128" s="45">
        <v>29380</v>
      </c>
      <c r="BZ128" s="45">
        <v>30210</v>
      </c>
      <c r="CA128" s="33">
        <v>15</v>
      </c>
      <c r="CG128" s="45">
        <v>28630</v>
      </c>
      <c r="CH128" s="33">
        <v>15</v>
      </c>
      <c r="CJ128" s="55" t="s">
        <v>246</v>
      </c>
      <c r="CK128" s="56" t="s">
        <v>362</v>
      </c>
      <c r="CL128" s="52"/>
    </row>
    <row r="129" spans="37:90" ht="22.5" hidden="1" customHeight="1">
      <c r="AK129" s="33" t="str">
        <f>IF(AM199=4,"Jan, 2019","")</f>
        <v/>
      </c>
      <c r="AL129" s="59"/>
      <c r="AU129" s="33">
        <v>9</v>
      </c>
      <c r="AV129" s="33" t="s">
        <v>214</v>
      </c>
      <c r="AX129" s="33">
        <v>9</v>
      </c>
      <c r="BA129" s="43">
        <v>20050</v>
      </c>
      <c r="BB129" s="43">
        <v>27880</v>
      </c>
      <c r="BC129" s="33">
        <f t="shared" si="2"/>
        <v>6094</v>
      </c>
      <c r="BD129" s="44">
        <f t="shared" si="3"/>
        <v>6015</v>
      </c>
      <c r="BE129" s="44">
        <f t="shared" si="4"/>
        <v>32159</v>
      </c>
      <c r="BF129" s="45">
        <v>32810</v>
      </c>
      <c r="BG129" s="33" t="s">
        <v>172</v>
      </c>
      <c r="BH129" s="33">
        <f t="shared" si="5"/>
        <v>940</v>
      </c>
      <c r="BK129" s="46">
        <v>31870</v>
      </c>
      <c r="BL129" s="46">
        <v>32810</v>
      </c>
      <c r="BM129" s="46">
        <v>33750</v>
      </c>
      <c r="BO129" s="33">
        <v>16</v>
      </c>
      <c r="BP129" s="43">
        <v>20050</v>
      </c>
      <c r="BQ129" s="43">
        <v>20640</v>
      </c>
      <c r="BR129" s="43">
        <v>21230</v>
      </c>
      <c r="BS129" s="45">
        <v>32810</v>
      </c>
      <c r="BT129" s="33">
        <v>16</v>
      </c>
      <c r="BW129" s="33">
        <v>16</v>
      </c>
      <c r="BX129" s="45">
        <v>29380</v>
      </c>
      <c r="BY129" s="45">
        <v>30210</v>
      </c>
      <c r="BZ129" s="60">
        <v>31040</v>
      </c>
      <c r="CA129" s="33">
        <v>16</v>
      </c>
      <c r="CG129" s="45">
        <v>29380</v>
      </c>
      <c r="CH129" s="33">
        <v>16</v>
      </c>
      <c r="CJ129" s="55" t="s">
        <v>247</v>
      </c>
      <c r="CK129" s="56" t="s">
        <v>364</v>
      </c>
      <c r="CL129" s="52"/>
    </row>
    <row r="130" spans="37:90" ht="22.5" hidden="1" customHeight="1">
      <c r="AK130" s="33" t="str">
        <f>IF(AM199=4,"Feb, 2019","")</f>
        <v/>
      </c>
      <c r="AL130" s="59"/>
      <c r="BA130" s="43">
        <v>20640</v>
      </c>
      <c r="BB130" s="43">
        <v>28630</v>
      </c>
      <c r="BC130" s="33">
        <f t="shared" si="2"/>
        <v>6273</v>
      </c>
      <c r="BD130" s="44">
        <f t="shared" si="3"/>
        <v>6192</v>
      </c>
      <c r="BE130" s="44">
        <f t="shared" si="4"/>
        <v>33105</v>
      </c>
      <c r="BF130" s="45">
        <v>33750</v>
      </c>
      <c r="BG130" s="33" t="s">
        <v>172</v>
      </c>
      <c r="BH130" s="33">
        <f t="shared" si="5"/>
        <v>940</v>
      </c>
      <c r="BK130" s="46">
        <v>32810</v>
      </c>
      <c r="BL130" s="46">
        <v>33750</v>
      </c>
      <c r="BM130" s="46">
        <v>34690</v>
      </c>
      <c r="BO130" s="33">
        <v>17</v>
      </c>
      <c r="BP130" s="43">
        <v>20640</v>
      </c>
      <c r="BQ130" s="43">
        <v>21230</v>
      </c>
      <c r="BR130" s="43">
        <v>21820</v>
      </c>
      <c r="BS130" s="45">
        <v>33750</v>
      </c>
      <c r="BT130" s="33">
        <v>17</v>
      </c>
      <c r="BW130" s="33">
        <v>17</v>
      </c>
      <c r="BX130" s="45">
        <v>30210</v>
      </c>
      <c r="BY130" s="61">
        <v>31040</v>
      </c>
      <c r="BZ130" s="45">
        <v>31870</v>
      </c>
      <c r="CA130" s="33">
        <v>17</v>
      </c>
      <c r="CG130" s="45">
        <v>30210</v>
      </c>
      <c r="CH130" s="33">
        <v>17</v>
      </c>
      <c r="CJ130" s="55" t="s">
        <v>248</v>
      </c>
      <c r="CK130" s="56" t="s">
        <v>366</v>
      </c>
      <c r="CL130" s="52"/>
    </row>
    <row r="131" spans="37:90" ht="22.5" hidden="1" customHeight="1" thickBot="1">
      <c r="AK131" s="33" t="str">
        <f>IF(AM199=4,"Mar, 2019","")</f>
        <v/>
      </c>
      <c r="AL131" s="59"/>
      <c r="BA131" s="43">
        <v>21230</v>
      </c>
      <c r="BB131" s="43">
        <v>29380</v>
      </c>
      <c r="BC131" s="33">
        <f t="shared" si="2"/>
        <v>6452</v>
      </c>
      <c r="BD131" s="44">
        <f t="shared" si="3"/>
        <v>6369</v>
      </c>
      <c r="BE131" s="44">
        <f t="shared" si="4"/>
        <v>34051</v>
      </c>
      <c r="BF131" s="45">
        <v>34690</v>
      </c>
      <c r="BG131" s="33" t="s">
        <v>172</v>
      </c>
      <c r="BH131" s="33">
        <f t="shared" si="5"/>
        <v>940</v>
      </c>
      <c r="BK131" s="46">
        <v>33750</v>
      </c>
      <c r="BL131" s="46">
        <v>34690</v>
      </c>
      <c r="BM131" s="46">
        <v>35720</v>
      </c>
      <c r="BO131" s="33">
        <v>18</v>
      </c>
      <c r="BP131" s="43">
        <v>21230</v>
      </c>
      <c r="BQ131" s="43">
        <v>21820</v>
      </c>
      <c r="BR131" s="43">
        <v>22460</v>
      </c>
      <c r="BS131" s="45">
        <v>34690</v>
      </c>
      <c r="BT131" s="33">
        <v>18</v>
      </c>
      <c r="BW131" s="33">
        <v>18</v>
      </c>
      <c r="BX131" s="62">
        <v>31040</v>
      </c>
      <c r="BY131" s="45">
        <v>31870</v>
      </c>
      <c r="BZ131" s="45">
        <v>32810</v>
      </c>
      <c r="CA131" s="33">
        <v>18</v>
      </c>
      <c r="CG131" s="63">
        <v>31040</v>
      </c>
      <c r="CH131" s="33">
        <v>18</v>
      </c>
      <c r="CJ131" s="55" t="s">
        <v>249</v>
      </c>
      <c r="CK131" s="56" t="s">
        <v>368</v>
      </c>
      <c r="CL131" s="52"/>
    </row>
    <row r="132" spans="37:90" ht="22.5" hidden="1" customHeight="1" thickBot="1">
      <c r="AK132" s="33" t="str">
        <f>IF(AM199=4,"Apr, 2019","")</f>
        <v/>
      </c>
      <c r="AL132" s="59"/>
      <c r="AV132" s="64" t="s">
        <v>198</v>
      </c>
      <c r="AW132" s="65"/>
      <c r="AX132" s="33">
        <v>1000</v>
      </c>
      <c r="BA132" s="43">
        <v>21820</v>
      </c>
      <c r="BB132" s="43">
        <v>30210</v>
      </c>
      <c r="BC132" s="33">
        <f t="shared" si="2"/>
        <v>6632</v>
      </c>
      <c r="BD132" s="44">
        <f t="shared" si="3"/>
        <v>6546</v>
      </c>
      <c r="BE132" s="44">
        <f t="shared" si="4"/>
        <v>34998</v>
      </c>
      <c r="BF132" s="45">
        <v>35720</v>
      </c>
      <c r="BG132" s="33" t="s">
        <v>172</v>
      </c>
      <c r="BH132" s="33">
        <f t="shared" si="5"/>
        <v>1030</v>
      </c>
      <c r="BK132" s="46">
        <v>34690</v>
      </c>
      <c r="BL132" s="46">
        <v>35720</v>
      </c>
      <c r="BM132" s="46">
        <v>36750</v>
      </c>
      <c r="BO132" s="33">
        <v>19</v>
      </c>
      <c r="BP132" s="43">
        <v>21820</v>
      </c>
      <c r="BQ132" s="43">
        <v>22460</v>
      </c>
      <c r="BR132" s="43">
        <v>23100</v>
      </c>
      <c r="BS132" s="45">
        <v>35720</v>
      </c>
      <c r="BT132" s="33">
        <v>19</v>
      </c>
      <c r="BW132" s="33">
        <v>19</v>
      </c>
      <c r="BX132" s="45">
        <v>31870</v>
      </c>
      <c r="BY132" s="45">
        <v>32810</v>
      </c>
      <c r="BZ132" s="45">
        <v>33750</v>
      </c>
      <c r="CA132" s="33">
        <v>19</v>
      </c>
      <c r="CG132" s="45">
        <v>31870</v>
      </c>
      <c r="CH132" s="33">
        <v>19</v>
      </c>
      <c r="CJ132" s="55" t="s">
        <v>250</v>
      </c>
      <c r="CK132" s="56" t="s">
        <v>370</v>
      </c>
      <c r="CL132" s="52"/>
    </row>
    <row r="133" spans="37:90" ht="22.5" hidden="1" customHeight="1">
      <c r="AK133" s="33" t="str">
        <f>IF(AM199=4,"May, 2019","")</f>
        <v/>
      </c>
      <c r="AL133" s="59"/>
      <c r="AV133" s="50" t="s">
        <v>232</v>
      </c>
      <c r="AW133" s="66"/>
      <c r="AX133" s="33">
        <v>1</v>
      </c>
      <c r="AY133" s="33">
        <v>13000</v>
      </c>
      <c r="BA133" s="43">
        <v>22460</v>
      </c>
      <c r="BB133" s="43">
        <v>31040</v>
      </c>
      <c r="BC133" s="33">
        <f t="shared" si="2"/>
        <v>6826</v>
      </c>
      <c r="BD133" s="44">
        <f t="shared" si="3"/>
        <v>6738</v>
      </c>
      <c r="BE133" s="44">
        <f t="shared" si="4"/>
        <v>36024</v>
      </c>
      <c r="BF133" s="45">
        <v>36750</v>
      </c>
      <c r="BG133" s="33" t="s">
        <v>172</v>
      </c>
      <c r="BH133" s="33">
        <f t="shared" si="5"/>
        <v>1030</v>
      </c>
      <c r="BK133" s="46">
        <v>35720</v>
      </c>
      <c r="BL133" s="46">
        <v>36750</v>
      </c>
      <c r="BM133" s="46">
        <v>37780</v>
      </c>
      <c r="BO133" s="33">
        <v>20</v>
      </c>
      <c r="BP133" s="43">
        <v>22460</v>
      </c>
      <c r="BQ133" s="43">
        <v>23100</v>
      </c>
      <c r="BR133" s="43">
        <v>23740</v>
      </c>
      <c r="BS133" s="45">
        <v>36750</v>
      </c>
      <c r="BT133" s="33">
        <v>20</v>
      </c>
      <c r="BW133" s="33">
        <v>20</v>
      </c>
      <c r="BX133" s="45">
        <v>32810</v>
      </c>
      <c r="BY133" s="45">
        <v>33750</v>
      </c>
      <c r="BZ133" s="45">
        <v>34690</v>
      </c>
      <c r="CA133" s="33">
        <v>20</v>
      </c>
      <c r="CG133" s="45">
        <v>32810</v>
      </c>
      <c r="CH133" s="33">
        <v>20</v>
      </c>
      <c r="CJ133" s="55" t="s">
        <v>251</v>
      </c>
      <c r="CK133" s="56" t="s">
        <v>372</v>
      </c>
      <c r="CL133" s="52"/>
    </row>
    <row r="134" spans="37:90" ht="22.5" hidden="1" customHeight="1">
      <c r="AK134" s="33" t="str">
        <f>IF(AM199=4,"Jun, 2019","")</f>
        <v/>
      </c>
      <c r="AL134" s="59"/>
      <c r="AV134" s="55" t="s">
        <v>233</v>
      </c>
      <c r="AW134" s="67"/>
      <c r="AX134" s="33">
        <v>2</v>
      </c>
      <c r="AY134" s="33">
        <v>13390</v>
      </c>
      <c r="BA134" s="43">
        <v>23100</v>
      </c>
      <c r="BB134" s="43">
        <v>31870</v>
      </c>
      <c r="BC134" s="33">
        <f t="shared" si="2"/>
        <v>7021</v>
      </c>
      <c r="BD134" s="44">
        <f t="shared" si="3"/>
        <v>6930</v>
      </c>
      <c r="BE134" s="44">
        <f t="shared" si="4"/>
        <v>37051</v>
      </c>
      <c r="BF134" s="45">
        <v>37780</v>
      </c>
      <c r="BG134" s="33" t="s">
        <v>172</v>
      </c>
      <c r="BH134" s="33">
        <f t="shared" si="5"/>
        <v>1030</v>
      </c>
      <c r="BK134" s="46">
        <v>36750</v>
      </c>
      <c r="BL134" s="46">
        <v>37780</v>
      </c>
      <c r="BM134" s="46">
        <v>38890</v>
      </c>
      <c r="BO134" s="33">
        <v>21</v>
      </c>
      <c r="BP134" s="43">
        <v>23100</v>
      </c>
      <c r="BQ134" s="43">
        <v>23740</v>
      </c>
      <c r="BR134" s="43">
        <v>24440</v>
      </c>
      <c r="BS134" s="45">
        <v>37780</v>
      </c>
      <c r="BT134" s="33">
        <v>21</v>
      </c>
      <c r="BW134" s="33">
        <v>21</v>
      </c>
      <c r="BX134" s="45">
        <v>33750</v>
      </c>
      <c r="BY134" s="45">
        <v>34690</v>
      </c>
      <c r="BZ134" s="45">
        <v>35720</v>
      </c>
      <c r="CA134" s="33">
        <v>21</v>
      </c>
      <c r="CG134" s="45">
        <v>33750</v>
      </c>
      <c r="CH134" s="33">
        <v>21</v>
      </c>
      <c r="CJ134" s="55" t="s">
        <v>252</v>
      </c>
      <c r="CK134" s="56" t="s">
        <v>374</v>
      </c>
      <c r="CL134" s="52"/>
    </row>
    <row r="135" spans="37:90" ht="22.5" hidden="1" customHeight="1">
      <c r="AL135" s="59"/>
      <c r="AV135" s="55" t="s">
        <v>234</v>
      </c>
      <c r="AW135" s="67"/>
      <c r="AX135" s="33">
        <v>3</v>
      </c>
      <c r="AY135" s="33">
        <v>13780</v>
      </c>
      <c r="BA135" s="43">
        <v>23740</v>
      </c>
      <c r="BB135" s="43">
        <v>32810</v>
      </c>
      <c r="BC135" s="33">
        <f t="shared" si="2"/>
        <v>7215</v>
      </c>
      <c r="BD135" s="44">
        <f t="shared" si="3"/>
        <v>7122</v>
      </c>
      <c r="BE135" s="44">
        <f t="shared" si="4"/>
        <v>38077</v>
      </c>
      <c r="BF135" s="45">
        <v>38890</v>
      </c>
      <c r="BG135" s="33" t="s">
        <v>172</v>
      </c>
      <c r="BH135" s="33">
        <f t="shared" si="5"/>
        <v>1110</v>
      </c>
      <c r="BK135" s="46">
        <v>37780</v>
      </c>
      <c r="BL135" s="46">
        <v>38890</v>
      </c>
      <c r="BM135" s="46">
        <v>40000</v>
      </c>
      <c r="BO135" s="33">
        <v>22</v>
      </c>
      <c r="BP135" s="43">
        <v>23740</v>
      </c>
      <c r="BQ135" s="43">
        <v>24440</v>
      </c>
      <c r="BR135" s="43">
        <v>25140</v>
      </c>
      <c r="BS135" s="45">
        <v>38890</v>
      </c>
      <c r="BT135" s="33">
        <v>22</v>
      </c>
      <c r="BW135" s="33">
        <v>22</v>
      </c>
      <c r="BX135" s="45">
        <v>34690</v>
      </c>
      <c r="BY135" s="45">
        <v>35720</v>
      </c>
      <c r="BZ135" s="45">
        <v>36750</v>
      </c>
      <c r="CA135" s="33">
        <v>22</v>
      </c>
      <c r="CG135" s="45">
        <v>34690</v>
      </c>
      <c r="CH135" s="33">
        <v>22</v>
      </c>
      <c r="CJ135" s="55" t="s">
        <v>253</v>
      </c>
      <c r="CK135" s="56" t="s">
        <v>376</v>
      </c>
      <c r="CL135" s="52"/>
    </row>
    <row r="136" spans="37:90" ht="22.5" hidden="1" customHeight="1">
      <c r="AV136" s="55" t="s">
        <v>235</v>
      </c>
      <c r="AW136" s="67"/>
      <c r="AX136" s="33">
        <v>5</v>
      </c>
      <c r="AY136" s="33">
        <v>14600</v>
      </c>
      <c r="BA136" s="43">
        <v>24440</v>
      </c>
      <c r="BB136" s="43">
        <v>33750</v>
      </c>
      <c r="BC136" s="33">
        <f t="shared" si="2"/>
        <v>7428</v>
      </c>
      <c r="BD136" s="44">
        <f t="shared" si="3"/>
        <v>7332</v>
      </c>
      <c r="BE136" s="44">
        <f t="shared" si="4"/>
        <v>39200</v>
      </c>
      <c r="BF136" s="45">
        <v>40000</v>
      </c>
      <c r="BG136" s="33" t="s">
        <v>172</v>
      </c>
      <c r="BH136" s="33">
        <f t="shared" si="5"/>
        <v>1110</v>
      </c>
      <c r="BK136" s="46">
        <v>38890</v>
      </c>
      <c r="BL136" s="46">
        <v>40000</v>
      </c>
      <c r="BM136" s="46">
        <v>41110</v>
      </c>
      <c r="BO136" s="33">
        <v>23</v>
      </c>
      <c r="BP136" s="43">
        <v>24440</v>
      </c>
      <c r="BQ136" s="43">
        <v>25140</v>
      </c>
      <c r="BR136" s="43">
        <v>25840</v>
      </c>
      <c r="BS136" s="45">
        <v>40000</v>
      </c>
      <c r="BT136" s="33">
        <v>23</v>
      </c>
      <c r="BW136" s="33">
        <v>23</v>
      </c>
      <c r="BX136" s="45">
        <v>35720</v>
      </c>
      <c r="BY136" s="45">
        <v>36750</v>
      </c>
      <c r="BZ136" s="45">
        <v>37780</v>
      </c>
      <c r="CA136" s="33">
        <v>23</v>
      </c>
      <c r="CG136" s="45">
        <v>35720</v>
      </c>
      <c r="CH136" s="33">
        <v>23</v>
      </c>
      <c r="CJ136" s="55" t="s">
        <v>254</v>
      </c>
      <c r="CK136" s="56" t="s">
        <v>378</v>
      </c>
      <c r="CL136" s="52"/>
    </row>
    <row r="137" spans="37:90" ht="22.5" hidden="1" customHeight="1">
      <c r="AV137" s="55" t="s">
        <v>236</v>
      </c>
      <c r="AW137" s="67"/>
      <c r="AX137" s="33">
        <v>6</v>
      </c>
      <c r="AY137" s="33">
        <v>15030</v>
      </c>
      <c r="BA137" s="43">
        <v>25140</v>
      </c>
      <c r="BB137" s="43">
        <v>34690</v>
      </c>
      <c r="BC137" s="33">
        <f t="shared" si="2"/>
        <v>7641</v>
      </c>
      <c r="BD137" s="44">
        <f t="shared" si="3"/>
        <v>7542</v>
      </c>
      <c r="BE137" s="44">
        <f t="shared" si="4"/>
        <v>40323</v>
      </c>
      <c r="BF137" s="45">
        <v>41110</v>
      </c>
      <c r="BG137" s="33" t="s">
        <v>172</v>
      </c>
      <c r="BH137" s="33">
        <f t="shared" si="5"/>
        <v>1110</v>
      </c>
      <c r="BK137" s="46">
        <v>40000</v>
      </c>
      <c r="BL137" s="46">
        <v>41110</v>
      </c>
      <c r="BM137" s="46">
        <v>42300</v>
      </c>
      <c r="BO137" s="33">
        <v>24</v>
      </c>
      <c r="BP137" s="43">
        <v>25140</v>
      </c>
      <c r="BQ137" s="43">
        <v>25840</v>
      </c>
      <c r="BR137" s="43">
        <v>26600</v>
      </c>
      <c r="BS137" s="45">
        <v>41110</v>
      </c>
      <c r="BT137" s="33">
        <v>24</v>
      </c>
      <c r="BW137" s="33">
        <v>24</v>
      </c>
      <c r="BX137" s="45">
        <v>36750</v>
      </c>
      <c r="BY137" s="45">
        <v>37780</v>
      </c>
      <c r="BZ137" s="45">
        <v>38890</v>
      </c>
      <c r="CA137" s="33">
        <v>24</v>
      </c>
      <c r="CG137" s="45">
        <v>36750</v>
      </c>
      <c r="CH137" s="33">
        <v>24</v>
      </c>
      <c r="CJ137" s="55" t="s">
        <v>255</v>
      </c>
      <c r="CK137" s="56" t="s">
        <v>380</v>
      </c>
      <c r="CL137" s="52"/>
    </row>
    <row r="138" spans="37:90" ht="22.5" hidden="1" customHeight="1">
      <c r="AK138" s="33" t="s">
        <v>198</v>
      </c>
      <c r="AV138" s="55" t="s">
        <v>237</v>
      </c>
      <c r="AW138" s="67"/>
      <c r="AX138" s="33">
        <v>7</v>
      </c>
      <c r="AY138" s="33">
        <v>15460</v>
      </c>
      <c r="BA138" s="43">
        <v>25840</v>
      </c>
      <c r="BB138" s="43">
        <v>35720</v>
      </c>
      <c r="BC138" s="33">
        <f t="shared" si="2"/>
        <v>7853</v>
      </c>
      <c r="BD138" s="44">
        <f t="shared" si="3"/>
        <v>7752</v>
      </c>
      <c r="BE138" s="44">
        <f t="shared" si="4"/>
        <v>41445</v>
      </c>
      <c r="BF138" s="45">
        <v>42300</v>
      </c>
      <c r="BG138" s="33" t="s">
        <v>172</v>
      </c>
      <c r="BH138" s="33">
        <f t="shared" si="5"/>
        <v>1190</v>
      </c>
      <c r="BK138" s="46">
        <v>41110</v>
      </c>
      <c r="BL138" s="46">
        <v>42300</v>
      </c>
      <c r="BM138" s="46">
        <v>43490</v>
      </c>
      <c r="BO138" s="33">
        <v>25</v>
      </c>
      <c r="BP138" s="43">
        <v>25840</v>
      </c>
      <c r="BQ138" s="43">
        <v>26600</v>
      </c>
      <c r="BR138" s="43">
        <v>27360</v>
      </c>
      <c r="BS138" s="45">
        <v>42300</v>
      </c>
      <c r="BT138" s="33">
        <v>25</v>
      </c>
      <c r="BW138" s="33">
        <v>25</v>
      </c>
      <c r="BX138" s="45">
        <v>37780</v>
      </c>
      <c r="BY138" s="45">
        <v>38890</v>
      </c>
      <c r="BZ138" s="45">
        <v>40000</v>
      </c>
      <c r="CA138" s="33">
        <v>25</v>
      </c>
      <c r="CG138" s="45">
        <v>37780</v>
      </c>
      <c r="CH138" s="33">
        <v>25</v>
      </c>
      <c r="CJ138" s="55" t="s">
        <v>256</v>
      </c>
      <c r="CK138" s="56" t="s">
        <v>382</v>
      </c>
      <c r="CL138" s="52"/>
    </row>
    <row r="139" spans="37:90" ht="22.5" hidden="1" customHeight="1">
      <c r="AK139" s="68">
        <v>1</v>
      </c>
      <c r="AL139" s="33" t="s">
        <v>302</v>
      </c>
      <c r="AV139" s="55" t="s">
        <v>238</v>
      </c>
      <c r="AW139" s="67"/>
      <c r="AX139" s="33">
        <v>9</v>
      </c>
      <c r="AY139" s="33">
        <v>16400</v>
      </c>
      <c r="BA139" s="43">
        <v>26600</v>
      </c>
      <c r="BB139" s="43">
        <v>36750</v>
      </c>
      <c r="BC139" s="33">
        <f t="shared" si="2"/>
        <v>8084</v>
      </c>
      <c r="BD139" s="44">
        <f t="shared" si="3"/>
        <v>7980</v>
      </c>
      <c r="BE139" s="44">
        <f t="shared" si="4"/>
        <v>42664</v>
      </c>
      <c r="BF139" s="45">
        <v>43490</v>
      </c>
      <c r="BG139" s="33" t="s">
        <v>172</v>
      </c>
      <c r="BH139" s="33">
        <f t="shared" si="5"/>
        <v>1190</v>
      </c>
      <c r="BK139" s="46">
        <v>42300</v>
      </c>
      <c r="BL139" s="46">
        <v>43490</v>
      </c>
      <c r="BM139" s="46">
        <v>45960</v>
      </c>
      <c r="BO139" s="33">
        <v>26</v>
      </c>
      <c r="BP139" s="43">
        <v>26600</v>
      </c>
      <c r="BQ139" s="43">
        <v>27360</v>
      </c>
      <c r="BR139" s="43">
        <v>28120</v>
      </c>
      <c r="BS139" s="45">
        <v>43490</v>
      </c>
      <c r="BT139" s="33">
        <v>26</v>
      </c>
      <c r="BW139" s="33">
        <v>26</v>
      </c>
      <c r="BX139" s="45">
        <v>38890</v>
      </c>
      <c r="BY139" s="45">
        <v>40000</v>
      </c>
      <c r="BZ139" s="45">
        <v>41110</v>
      </c>
      <c r="CA139" s="33">
        <v>26</v>
      </c>
      <c r="CG139" s="45">
        <v>38890</v>
      </c>
      <c r="CH139" s="33">
        <v>26</v>
      </c>
      <c r="CJ139" s="55" t="s">
        <v>257</v>
      </c>
      <c r="CK139" s="56" t="s">
        <v>384</v>
      </c>
      <c r="CL139" s="52"/>
    </row>
    <row r="140" spans="37:90" ht="22.5" hidden="1" customHeight="1">
      <c r="AK140" s="68">
        <f>AK139+1</f>
        <v>2</v>
      </c>
      <c r="AL140" s="33" t="s">
        <v>303</v>
      </c>
      <c r="AV140" s="55" t="s">
        <v>239</v>
      </c>
      <c r="AW140" s="67"/>
      <c r="AX140" s="33">
        <v>12</v>
      </c>
      <c r="AY140" s="33">
        <v>17890</v>
      </c>
      <c r="BA140" s="43">
        <v>27360</v>
      </c>
      <c r="BB140" s="43">
        <v>37780</v>
      </c>
      <c r="BC140" s="33">
        <f t="shared" si="2"/>
        <v>8315</v>
      </c>
      <c r="BD140" s="44">
        <f t="shared" si="3"/>
        <v>8208</v>
      </c>
      <c r="BE140" s="44">
        <f t="shared" si="4"/>
        <v>43883</v>
      </c>
      <c r="BF140" s="45">
        <v>44680</v>
      </c>
      <c r="BG140" s="33" t="s">
        <v>172</v>
      </c>
      <c r="BH140" s="33">
        <f t="shared" si="5"/>
        <v>1190</v>
      </c>
      <c r="BK140" s="46">
        <v>43490</v>
      </c>
      <c r="BL140" s="46">
        <v>45960</v>
      </c>
      <c r="BM140" s="46">
        <v>45960</v>
      </c>
      <c r="BO140" s="33">
        <v>27</v>
      </c>
      <c r="BP140" s="43">
        <v>27360</v>
      </c>
      <c r="BQ140" s="43">
        <v>28120</v>
      </c>
      <c r="BR140" s="43">
        <v>28940</v>
      </c>
      <c r="BS140" s="45">
        <v>44680</v>
      </c>
      <c r="BT140" s="33">
        <v>27</v>
      </c>
      <c r="BW140" s="33">
        <v>27</v>
      </c>
      <c r="BX140" s="45">
        <v>40000</v>
      </c>
      <c r="BY140" s="45">
        <v>41110</v>
      </c>
      <c r="BZ140" s="45">
        <v>42300</v>
      </c>
      <c r="CA140" s="33">
        <v>27</v>
      </c>
      <c r="CG140" s="45">
        <v>40000</v>
      </c>
      <c r="CH140" s="33">
        <v>27</v>
      </c>
      <c r="CJ140" s="55" t="s">
        <v>258</v>
      </c>
      <c r="CK140" s="56" t="s">
        <v>386</v>
      </c>
      <c r="CL140" s="52"/>
    </row>
    <row r="141" spans="37:90" ht="22.5" hidden="1" customHeight="1">
      <c r="AK141" s="68">
        <f t="shared" ref="AK141:AK169" si="6">AK140+1</f>
        <v>3</v>
      </c>
      <c r="AL141" s="33" t="s">
        <v>304</v>
      </c>
      <c r="AV141" s="55" t="s">
        <v>240</v>
      </c>
      <c r="AW141" s="67"/>
      <c r="AX141" s="33">
        <v>13</v>
      </c>
      <c r="AY141" s="33">
        <v>18400</v>
      </c>
      <c r="BA141" s="43">
        <v>28120</v>
      </c>
      <c r="BB141" s="43">
        <v>38890</v>
      </c>
      <c r="BC141" s="33">
        <f t="shared" si="2"/>
        <v>8546</v>
      </c>
      <c r="BD141" s="44">
        <f t="shared" si="3"/>
        <v>8436</v>
      </c>
      <c r="BE141" s="44">
        <f t="shared" si="4"/>
        <v>45102</v>
      </c>
      <c r="BF141" s="45">
        <v>45960</v>
      </c>
      <c r="BG141" s="33" t="s">
        <v>172</v>
      </c>
      <c r="BH141" s="33">
        <f t="shared" si="5"/>
        <v>1280</v>
      </c>
      <c r="BK141" s="46">
        <v>45960</v>
      </c>
      <c r="BL141" s="46">
        <v>45960</v>
      </c>
      <c r="BM141" s="46">
        <v>47240</v>
      </c>
      <c r="BO141" s="33">
        <v>28</v>
      </c>
      <c r="BP141" s="43">
        <v>28120</v>
      </c>
      <c r="BQ141" s="43">
        <v>28940</v>
      </c>
      <c r="BR141" s="43">
        <v>29760</v>
      </c>
      <c r="BS141" s="45">
        <v>45960</v>
      </c>
      <c r="BT141" s="33">
        <v>28</v>
      </c>
      <c r="BW141" s="33">
        <v>28</v>
      </c>
      <c r="BX141" s="45">
        <v>41110</v>
      </c>
      <c r="BY141" s="45">
        <v>42300</v>
      </c>
      <c r="BZ141" s="45">
        <v>43490</v>
      </c>
      <c r="CA141" s="33">
        <v>28</v>
      </c>
      <c r="CG141" s="45">
        <v>41110</v>
      </c>
      <c r="CH141" s="33">
        <v>28</v>
      </c>
      <c r="CJ141" s="55" t="s">
        <v>259</v>
      </c>
      <c r="CK141" s="56" t="s">
        <v>388</v>
      </c>
      <c r="CL141" s="52"/>
    </row>
    <row r="142" spans="37:90" ht="22.5" hidden="1" customHeight="1">
      <c r="AK142" s="68">
        <f t="shared" si="6"/>
        <v>4</v>
      </c>
      <c r="AL142" s="33" t="s">
        <v>305</v>
      </c>
      <c r="AV142" s="55" t="s">
        <v>241</v>
      </c>
      <c r="AW142" s="67"/>
      <c r="AX142" s="33">
        <v>15</v>
      </c>
      <c r="AY142" s="33">
        <v>19500</v>
      </c>
      <c r="BA142" s="43">
        <v>28940</v>
      </c>
      <c r="BB142" s="43">
        <v>40000</v>
      </c>
      <c r="BC142" s="33">
        <f t="shared" si="2"/>
        <v>8795</v>
      </c>
      <c r="BD142" s="44">
        <f t="shared" si="3"/>
        <v>8682</v>
      </c>
      <c r="BE142" s="44">
        <f t="shared" si="4"/>
        <v>46417</v>
      </c>
      <c r="BF142" s="45">
        <v>47240</v>
      </c>
      <c r="BG142" s="33" t="s">
        <v>172</v>
      </c>
      <c r="BH142" s="33">
        <f t="shared" si="5"/>
        <v>1280</v>
      </c>
      <c r="BK142" s="46">
        <v>45960</v>
      </c>
      <c r="BL142" s="46">
        <v>47240</v>
      </c>
      <c r="BM142" s="46">
        <v>48520</v>
      </c>
      <c r="BO142" s="33">
        <v>29</v>
      </c>
      <c r="BP142" s="43">
        <v>28940</v>
      </c>
      <c r="BQ142" s="43">
        <v>29760</v>
      </c>
      <c r="BR142" s="43">
        <v>30580</v>
      </c>
      <c r="BS142" s="45">
        <v>47240</v>
      </c>
      <c r="BT142" s="33">
        <v>29</v>
      </c>
      <c r="BW142" s="33">
        <v>29</v>
      </c>
      <c r="BX142" s="45">
        <v>42300</v>
      </c>
      <c r="BY142" s="45">
        <v>43490</v>
      </c>
      <c r="BZ142" s="45">
        <v>44680</v>
      </c>
      <c r="CA142" s="33">
        <v>29</v>
      </c>
      <c r="CG142" s="45">
        <v>42300</v>
      </c>
      <c r="CH142" s="33">
        <v>29</v>
      </c>
      <c r="CJ142" s="55" t="s">
        <v>260</v>
      </c>
      <c r="CK142" s="56" t="s">
        <v>390</v>
      </c>
      <c r="CL142" s="52"/>
    </row>
    <row r="143" spans="37:90" ht="22.5" hidden="1" customHeight="1">
      <c r="AK143" s="68">
        <f t="shared" si="6"/>
        <v>5</v>
      </c>
      <c r="AL143" s="33" t="s">
        <v>306</v>
      </c>
      <c r="AV143" s="55" t="s">
        <v>242</v>
      </c>
      <c r="AW143" s="67"/>
      <c r="AX143" s="33">
        <v>18</v>
      </c>
      <c r="AY143" s="33">
        <v>21230</v>
      </c>
      <c r="BA143" s="43">
        <v>29760</v>
      </c>
      <c r="BB143" s="43">
        <v>41110</v>
      </c>
      <c r="BC143" s="33">
        <f t="shared" si="2"/>
        <v>9045</v>
      </c>
      <c r="BD143" s="44">
        <f t="shared" si="3"/>
        <v>8928</v>
      </c>
      <c r="BE143" s="44">
        <f t="shared" si="4"/>
        <v>47733</v>
      </c>
      <c r="BF143" s="45">
        <v>48520</v>
      </c>
      <c r="BG143" s="33" t="s">
        <v>172</v>
      </c>
      <c r="BH143" s="33">
        <f t="shared" si="5"/>
        <v>1280</v>
      </c>
      <c r="BK143" s="46">
        <v>47240</v>
      </c>
      <c r="BL143" s="46">
        <v>48520</v>
      </c>
      <c r="BM143" s="46">
        <v>49920</v>
      </c>
      <c r="BO143" s="33">
        <v>30</v>
      </c>
      <c r="BP143" s="43">
        <v>29760</v>
      </c>
      <c r="BQ143" s="43">
        <v>30580</v>
      </c>
      <c r="BR143" s="43">
        <v>31460</v>
      </c>
      <c r="BS143" s="45">
        <v>48520</v>
      </c>
      <c r="BT143" s="33">
        <v>30</v>
      </c>
      <c r="BW143" s="33">
        <v>30</v>
      </c>
      <c r="BX143" s="45">
        <v>43490</v>
      </c>
      <c r="BY143" s="45">
        <v>44680</v>
      </c>
      <c r="BZ143" s="45">
        <v>45960</v>
      </c>
      <c r="CA143" s="33">
        <v>30</v>
      </c>
      <c r="CG143" s="45">
        <v>43490</v>
      </c>
      <c r="CH143" s="33">
        <v>30</v>
      </c>
      <c r="CJ143" s="55" t="s">
        <v>261</v>
      </c>
      <c r="CK143" s="56" t="s">
        <v>392</v>
      </c>
      <c r="CL143" s="52"/>
    </row>
    <row r="144" spans="37:90" ht="22.5" hidden="1" customHeight="1">
      <c r="AK144" s="68">
        <f t="shared" si="6"/>
        <v>6</v>
      </c>
      <c r="AL144" s="33" t="s">
        <v>307</v>
      </c>
      <c r="AR144" s="69"/>
      <c r="AS144" s="41"/>
      <c r="AV144" s="55" t="s">
        <v>243</v>
      </c>
      <c r="AW144" s="67"/>
      <c r="AX144" s="33">
        <v>20</v>
      </c>
      <c r="AY144" s="33">
        <v>22460</v>
      </c>
      <c r="BA144" s="43">
        <v>30580</v>
      </c>
      <c r="BB144" s="43">
        <v>42300</v>
      </c>
      <c r="BC144" s="33">
        <f t="shared" si="2"/>
        <v>9294</v>
      </c>
      <c r="BD144" s="44">
        <f t="shared" si="3"/>
        <v>9174</v>
      </c>
      <c r="BE144" s="44">
        <f t="shared" si="4"/>
        <v>49048</v>
      </c>
      <c r="BF144" s="45">
        <v>49920</v>
      </c>
      <c r="BG144" s="33" t="s">
        <v>172</v>
      </c>
      <c r="BH144" s="33">
        <f t="shared" si="5"/>
        <v>1400</v>
      </c>
      <c r="BK144" s="46">
        <v>48520</v>
      </c>
      <c r="BL144" s="46">
        <v>49920</v>
      </c>
      <c r="BM144" s="46">
        <v>51320</v>
      </c>
      <c r="BO144" s="33">
        <v>31</v>
      </c>
      <c r="BP144" s="43">
        <v>30580</v>
      </c>
      <c r="BQ144" s="43">
        <v>31460</v>
      </c>
      <c r="BR144" s="43">
        <v>32340</v>
      </c>
      <c r="BS144" s="45">
        <v>49920</v>
      </c>
      <c r="BT144" s="33">
        <v>31</v>
      </c>
      <c r="BW144" s="33">
        <v>31</v>
      </c>
      <c r="BX144" s="45">
        <v>44680</v>
      </c>
      <c r="BY144" s="45">
        <v>45960</v>
      </c>
      <c r="BZ144" s="45">
        <v>47240</v>
      </c>
      <c r="CA144" s="33">
        <v>31</v>
      </c>
      <c r="CG144" s="45">
        <v>44680</v>
      </c>
      <c r="CH144" s="33">
        <v>31</v>
      </c>
      <c r="CJ144" s="55" t="s">
        <v>262</v>
      </c>
      <c r="CK144" s="56" t="s">
        <v>394</v>
      </c>
      <c r="CL144" s="52"/>
    </row>
    <row r="145" spans="37:90" ht="22.5" hidden="1" customHeight="1" thickBot="1">
      <c r="AK145" s="68">
        <f t="shared" si="6"/>
        <v>7</v>
      </c>
      <c r="AL145" s="33" t="s">
        <v>296</v>
      </c>
      <c r="AR145" s="69"/>
      <c r="AS145" s="41"/>
      <c r="AV145" s="55" t="s">
        <v>244</v>
      </c>
      <c r="AW145" s="67"/>
      <c r="AX145" s="33">
        <v>21</v>
      </c>
      <c r="AY145" s="33">
        <v>23100</v>
      </c>
      <c r="BA145" s="43">
        <v>31460</v>
      </c>
      <c r="BB145" s="43">
        <v>43490</v>
      </c>
      <c r="BC145" s="33">
        <f t="shared" si="2"/>
        <v>9561</v>
      </c>
      <c r="BD145" s="44">
        <f t="shared" si="3"/>
        <v>9438</v>
      </c>
      <c r="BE145" s="44">
        <f t="shared" si="4"/>
        <v>50459</v>
      </c>
      <c r="BF145" s="45">
        <v>51320</v>
      </c>
      <c r="BG145" s="33" t="s">
        <v>172</v>
      </c>
      <c r="BH145" s="33">
        <f t="shared" si="5"/>
        <v>1400</v>
      </c>
      <c r="BK145" s="46">
        <v>49920</v>
      </c>
      <c r="BL145" s="46">
        <v>51320</v>
      </c>
      <c r="BM145" s="46">
        <v>52720</v>
      </c>
      <c r="BO145" s="33">
        <v>32</v>
      </c>
      <c r="BP145" s="43">
        <v>31460</v>
      </c>
      <c r="BQ145" s="43">
        <v>32340</v>
      </c>
      <c r="BR145" s="43">
        <v>33220</v>
      </c>
      <c r="BS145" s="45">
        <v>51320</v>
      </c>
      <c r="BT145" s="33">
        <v>32</v>
      </c>
      <c r="BW145" s="33">
        <v>32</v>
      </c>
      <c r="BX145" s="45">
        <v>45960</v>
      </c>
      <c r="BY145" s="45">
        <v>47240</v>
      </c>
      <c r="BZ145" s="45">
        <v>48520</v>
      </c>
      <c r="CA145" s="33">
        <v>32</v>
      </c>
      <c r="CG145" s="45">
        <v>45960</v>
      </c>
      <c r="CH145" s="33">
        <v>32</v>
      </c>
      <c r="CJ145" s="70" t="s">
        <v>263</v>
      </c>
      <c r="CK145" s="56" t="s">
        <v>396</v>
      </c>
      <c r="CL145" s="52"/>
    </row>
    <row r="146" spans="37:90" ht="22.5" hidden="1" customHeight="1">
      <c r="AK146" s="68">
        <f t="shared" si="6"/>
        <v>8</v>
      </c>
      <c r="AL146" s="33" t="s">
        <v>297</v>
      </c>
      <c r="AR146" s="69"/>
      <c r="AS146" s="41"/>
      <c r="AV146" s="55" t="s">
        <v>245</v>
      </c>
      <c r="AW146" s="67"/>
      <c r="AX146" s="33">
        <v>23</v>
      </c>
      <c r="AY146" s="33">
        <v>24440</v>
      </c>
      <c r="BA146" s="43">
        <v>32340</v>
      </c>
      <c r="BB146" s="43">
        <v>45960</v>
      </c>
      <c r="BC146" s="33">
        <f t="shared" si="2"/>
        <v>9829</v>
      </c>
      <c r="BD146" s="44">
        <f t="shared" si="3"/>
        <v>9702</v>
      </c>
      <c r="BE146" s="44">
        <f t="shared" si="4"/>
        <v>51871</v>
      </c>
      <c r="BF146" s="45">
        <v>52720</v>
      </c>
      <c r="BG146" s="33" t="s">
        <v>172</v>
      </c>
      <c r="BH146" s="33">
        <f t="shared" si="5"/>
        <v>1400</v>
      </c>
      <c r="BK146" s="46">
        <v>51320</v>
      </c>
      <c r="BL146" s="46">
        <v>52720</v>
      </c>
      <c r="BM146" s="46">
        <v>54220</v>
      </c>
      <c r="BO146" s="33">
        <v>33</v>
      </c>
      <c r="BP146" s="43">
        <v>32340</v>
      </c>
      <c r="BQ146" s="43">
        <v>33220</v>
      </c>
      <c r="BR146" s="43">
        <v>34170</v>
      </c>
      <c r="BS146" s="45">
        <v>52720</v>
      </c>
      <c r="BT146" s="33">
        <v>33</v>
      </c>
      <c r="BW146" s="33">
        <v>33</v>
      </c>
      <c r="BX146" s="45">
        <v>47240</v>
      </c>
      <c r="BY146" s="45">
        <v>48520</v>
      </c>
      <c r="BZ146" s="45">
        <v>49920</v>
      </c>
      <c r="CA146" s="33">
        <v>33</v>
      </c>
      <c r="CG146" s="45">
        <v>47240</v>
      </c>
      <c r="CH146" s="33">
        <v>33</v>
      </c>
    </row>
    <row r="147" spans="37:90" ht="22.5" hidden="1" customHeight="1">
      <c r="AK147" s="68">
        <f t="shared" si="6"/>
        <v>9</v>
      </c>
      <c r="AL147" s="33" t="s">
        <v>298</v>
      </c>
      <c r="AR147" s="69"/>
      <c r="AS147" s="41"/>
      <c r="AV147" s="55" t="s">
        <v>246</v>
      </c>
      <c r="AW147" s="67"/>
      <c r="AX147" s="33">
        <v>24</v>
      </c>
      <c r="AY147" s="33">
        <v>25140</v>
      </c>
      <c r="BA147" s="43">
        <v>33220</v>
      </c>
      <c r="BB147" s="43">
        <v>45960</v>
      </c>
      <c r="BC147" s="33">
        <f t="shared" si="2"/>
        <v>10096</v>
      </c>
      <c r="BD147" s="44">
        <f t="shared" si="3"/>
        <v>9966</v>
      </c>
      <c r="BE147" s="44">
        <f t="shared" si="4"/>
        <v>53282</v>
      </c>
      <c r="BF147" s="45">
        <v>54220</v>
      </c>
      <c r="BG147" s="33" t="s">
        <v>172</v>
      </c>
      <c r="BH147" s="33">
        <f t="shared" si="5"/>
        <v>1500</v>
      </c>
      <c r="BK147" s="46">
        <v>52720</v>
      </c>
      <c r="BL147" s="46">
        <v>54220</v>
      </c>
      <c r="BM147" s="46">
        <v>55720</v>
      </c>
      <c r="BO147" s="33">
        <v>34</v>
      </c>
      <c r="BP147" s="43">
        <v>33220</v>
      </c>
      <c r="BQ147" s="43">
        <v>34170</v>
      </c>
      <c r="BR147" s="43">
        <v>35120</v>
      </c>
      <c r="BS147" s="45">
        <v>54220</v>
      </c>
      <c r="BT147" s="33">
        <v>34</v>
      </c>
      <c r="BW147" s="33">
        <v>34</v>
      </c>
      <c r="BX147" s="45">
        <v>48520</v>
      </c>
      <c r="BY147" s="45">
        <v>49920</v>
      </c>
      <c r="BZ147" s="45">
        <v>51320</v>
      </c>
      <c r="CA147" s="33">
        <v>34</v>
      </c>
      <c r="CG147" s="45">
        <v>48520</v>
      </c>
      <c r="CH147" s="33">
        <v>34</v>
      </c>
    </row>
    <row r="148" spans="37:90" ht="22.5" hidden="1" customHeight="1" thickBot="1">
      <c r="AK148" s="68">
        <f t="shared" si="6"/>
        <v>10</v>
      </c>
      <c r="AL148" s="33" t="s">
        <v>299</v>
      </c>
      <c r="AR148" s="69"/>
      <c r="AS148" s="41"/>
      <c r="AV148" s="55" t="s">
        <v>247</v>
      </c>
      <c r="AW148" s="67"/>
      <c r="AX148" s="33">
        <v>26</v>
      </c>
      <c r="AY148" s="33">
        <v>26600</v>
      </c>
      <c r="BA148" s="43">
        <v>34170</v>
      </c>
      <c r="BB148" s="43">
        <v>47240</v>
      </c>
      <c r="BC148" s="33">
        <f t="shared" si="2"/>
        <v>10385</v>
      </c>
      <c r="BD148" s="44">
        <f t="shared" si="3"/>
        <v>10251</v>
      </c>
      <c r="BE148" s="44">
        <f t="shared" si="4"/>
        <v>54806</v>
      </c>
      <c r="BF148" s="45">
        <v>55720</v>
      </c>
      <c r="BG148" s="33" t="s">
        <v>172</v>
      </c>
      <c r="BH148" s="33">
        <f t="shared" si="5"/>
        <v>1500</v>
      </c>
      <c r="BK148" s="46">
        <v>54220</v>
      </c>
      <c r="BL148" s="46">
        <v>55720</v>
      </c>
      <c r="BM148" s="46">
        <v>57220</v>
      </c>
      <c r="BO148" s="33">
        <v>35</v>
      </c>
      <c r="BP148" s="43">
        <v>34170</v>
      </c>
      <c r="BQ148" s="43">
        <v>35120</v>
      </c>
      <c r="BR148" s="43">
        <v>36070</v>
      </c>
      <c r="BS148" s="45">
        <v>55720</v>
      </c>
      <c r="BT148" s="33">
        <v>35</v>
      </c>
      <c r="BW148" s="33">
        <v>35</v>
      </c>
      <c r="BX148" s="45">
        <v>49920</v>
      </c>
      <c r="BY148" s="45">
        <v>51320</v>
      </c>
      <c r="BZ148" s="45">
        <v>52720</v>
      </c>
      <c r="CA148" s="33">
        <v>35</v>
      </c>
      <c r="CG148" s="45">
        <v>49920</v>
      </c>
      <c r="CH148" s="33">
        <v>35</v>
      </c>
      <c r="CJ148" s="33" t="str">
        <f>VLOOKUP(P41,CJ150:CK181,2,0)</f>
        <v>54220-1500-57220-1630-62110-1730-67300-1850-72850-1990-78820-2140-85240-2270-92050-2420-99310-2560-106990-2760-115270-2960-124150-3160-133630 (35)</v>
      </c>
    </row>
    <row r="149" spans="37:90" ht="22.5" hidden="1" customHeight="1" thickBot="1">
      <c r="AK149" s="68">
        <f t="shared" si="6"/>
        <v>11</v>
      </c>
      <c r="AL149" s="33" t="s">
        <v>300</v>
      </c>
      <c r="AQ149" s="69"/>
      <c r="AR149" s="41"/>
      <c r="AV149" s="55" t="s">
        <v>248</v>
      </c>
      <c r="AW149" s="67"/>
      <c r="AX149" s="33">
        <v>29</v>
      </c>
      <c r="AY149" s="33">
        <v>28940</v>
      </c>
      <c r="BA149" s="43">
        <v>35120</v>
      </c>
      <c r="BB149" s="43">
        <v>48520</v>
      </c>
      <c r="BC149" s="33">
        <f t="shared" si="2"/>
        <v>10674</v>
      </c>
      <c r="BD149" s="44">
        <f t="shared" si="3"/>
        <v>10536</v>
      </c>
      <c r="BE149" s="44">
        <f t="shared" si="4"/>
        <v>56330</v>
      </c>
      <c r="BF149" s="45">
        <v>57220</v>
      </c>
      <c r="BG149" s="33" t="s">
        <v>172</v>
      </c>
      <c r="BH149" s="33">
        <f t="shared" si="5"/>
        <v>1500</v>
      </c>
      <c r="BK149" s="46">
        <v>55720</v>
      </c>
      <c r="BL149" s="46">
        <v>57220</v>
      </c>
      <c r="BM149" s="46">
        <v>58850</v>
      </c>
      <c r="BO149" s="33">
        <v>36</v>
      </c>
      <c r="BP149" s="43">
        <v>35120</v>
      </c>
      <c r="BQ149" s="43">
        <v>36070</v>
      </c>
      <c r="BR149" s="43">
        <v>37100</v>
      </c>
      <c r="BS149" s="45">
        <v>57220</v>
      </c>
      <c r="BT149" s="33">
        <v>36</v>
      </c>
      <c r="BW149" s="33">
        <v>36</v>
      </c>
      <c r="BX149" s="45">
        <v>51320</v>
      </c>
      <c r="BY149" s="45">
        <v>52720</v>
      </c>
      <c r="BZ149" s="45">
        <v>54220</v>
      </c>
      <c r="CA149" s="33">
        <v>36</v>
      </c>
      <c r="CG149" s="45">
        <v>51320</v>
      </c>
      <c r="CH149" s="33">
        <v>36</v>
      </c>
      <c r="CJ149" s="64"/>
    </row>
    <row r="150" spans="37:90" ht="22.5" hidden="1" customHeight="1">
      <c r="AK150" s="68">
        <f t="shared" si="6"/>
        <v>12</v>
      </c>
      <c r="AL150" s="33" t="s">
        <v>301</v>
      </c>
      <c r="AQ150" s="69"/>
      <c r="AR150" s="41"/>
      <c r="AV150" s="55" t="s">
        <v>249</v>
      </c>
      <c r="AW150" s="67"/>
      <c r="AX150" s="33">
        <v>30</v>
      </c>
      <c r="AY150" s="33">
        <v>29760</v>
      </c>
      <c r="BA150" s="43">
        <v>36070</v>
      </c>
      <c r="BB150" s="43">
        <v>49920</v>
      </c>
      <c r="BC150" s="33">
        <f t="shared" si="2"/>
        <v>10962</v>
      </c>
      <c r="BD150" s="44">
        <f t="shared" si="3"/>
        <v>10821</v>
      </c>
      <c r="BE150" s="44">
        <f t="shared" si="4"/>
        <v>57853</v>
      </c>
      <c r="BF150" s="45">
        <v>58850</v>
      </c>
      <c r="BG150" s="33" t="s">
        <v>172</v>
      </c>
      <c r="BH150" s="33">
        <f t="shared" si="5"/>
        <v>1630</v>
      </c>
      <c r="BK150" s="46">
        <v>57220</v>
      </c>
      <c r="BL150" s="46">
        <v>58850</v>
      </c>
      <c r="BM150" s="46">
        <v>60480</v>
      </c>
      <c r="BO150" s="33">
        <v>37</v>
      </c>
      <c r="BP150" s="43">
        <v>36070</v>
      </c>
      <c r="BQ150" s="43">
        <v>37100</v>
      </c>
      <c r="BR150" s="43">
        <v>38130</v>
      </c>
      <c r="BS150" s="45">
        <v>58850</v>
      </c>
      <c r="BT150" s="33">
        <v>37</v>
      </c>
      <c r="BW150" s="33">
        <v>37</v>
      </c>
      <c r="BX150" s="45">
        <v>52720</v>
      </c>
      <c r="BY150" s="45">
        <v>54220</v>
      </c>
      <c r="BZ150" s="45">
        <v>55720</v>
      </c>
      <c r="CA150" s="33">
        <v>37</v>
      </c>
      <c r="CG150" s="45">
        <v>52720</v>
      </c>
      <c r="CH150" s="33">
        <v>37</v>
      </c>
      <c r="CJ150" s="71" t="s">
        <v>264</v>
      </c>
      <c r="CK150" s="52" t="s">
        <v>335</v>
      </c>
    </row>
    <row r="151" spans="37:90" ht="22.5" hidden="1" customHeight="1">
      <c r="AK151" s="68">
        <f t="shared" si="6"/>
        <v>13</v>
      </c>
      <c r="AQ151" s="69"/>
      <c r="AR151" s="41"/>
      <c r="AV151" s="55" t="s">
        <v>250</v>
      </c>
      <c r="AW151" s="67"/>
      <c r="AX151" s="33">
        <v>32</v>
      </c>
      <c r="AY151" s="33">
        <v>3460</v>
      </c>
      <c r="BA151" s="43">
        <v>37100</v>
      </c>
      <c r="BB151" s="43">
        <v>51320</v>
      </c>
      <c r="BC151" s="33">
        <f t="shared" si="2"/>
        <v>11275</v>
      </c>
      <c r="BD151" s="44">
        <f t="shared" si="3"/>
        <v>11130</v>
      </c>
      <c r="BE151" s="44">
        <f t="shared" si="4"/>
        <v>59505</v>
      </c>
      <c r="BF151" s="45">
        <v>60480</v>
      </c>
      <c r="BG151" s="33" t="s">
        <v>172</v>
      </c>
      <c r="BH151" s="33">
        <f t="shared" si="5"/>
        <v>1630</v>
      </c>
      <c r="BK151" s="46">
        <v>58850</v>
      </c>
      <c r="BL151" s="46">
        <v>60480</v>
      </c>
      <c r="BM151" s="46">
        <v>62110</v>
      </c>
      <c r="BO151" s="33">
        <v>38</v>
      </c>
      <c r="BP151" s="43">
        <v>37100</v>
      </c>
      <c r="BQ151" s="43">
        <v>38130</v>
      </c>
      <c r="BR151" s="43">
        <v>39160</v>
      </c>
      <c r="BS151" s="45">
        <v>60480</v>
      </c>
      <c r="BT151" s="33">
        <v>38</v>
      </c>
      <c r="BW151" s="33">
        <v>38</v>
      </c>
      <c r="BX151" s="45">
        <v>54220</v>
      </c>
      <c r="BY151" s="45">
        <v>55720</v>
      </c>
      <c r="BZ151" s="45">
        <v>57220</v>
      </c>
      <c r="CA151" s="33">
        <v>38</v>
      </c>
      <c r="CG151" s="45">
        <v>54220</v>
      </c>
      <c r="CH151" s="33">
        <v>38</v>
      </c>
      <c r="CJ151" s="71" t="s">
        <v>265</v>
      </c>
      <c r="CK151" s="52" t="s">
        <v>337</v>
      </c>
    </row>
    <row r="152" spans="37:90" ht="22.5" hidden="1" customHeight="1">
      <c r="AK152" s="68">
        <f t="shared" si="6"/>
        <v>14</v>
      </c>
      <c r="AQ152" s="69"/>
      <c r="AR152" s="41"/>
      <c r="AV152" s="55" t="s">
        <v>251</v>
      </c>
      <c r="AW152" s="67"/>
      <c r="AX152" s="33">
        <v>36</v>
      </c>
      <c r="AY152" s="33">
        <v>35120</v>
      </c>
      <c r="BA152" s="43">
        <v>38130</v>
      </c>
      <c r="BB152" s="43">
        <v>52720</v>
      </c>
      <c r="BC152" s="33">
        <f t="shared" si="2"/>
        <v>11588</v>
      </c>
      <c r="BD152" s="44">
        <f t="shared" si="3"/>
        <v>11439</v>
      </c>
      <c r="BE152" s="44">
        <f t="shared" si="4"/>
        <v>61157</v>
      </c>
      <c r="BF152" s="45">
        <v>62110</v>
      </c>
      <c r="BG152" s="33" t="s">
        <v>172</v>
      </c>
      <c r="BH152" s="33">
        <f t="shared" si="5"/>
        <v>1630</v>
      </c>
      <c r="BK152" s="46">
        <v>60480</v>
      </c>
      <c r="BL152" s="46">
        <v>62110</v>
      </c>
      <c r="BM152" s="46">
        <v>63840</v>
      </c>
      <c r="BO152" s="33">
        <v>39</v>
      </c>
      <c r="BP152" s="43">
        <v>38130</v>
      </c>
      <c r="BQ152" s="43">
        <v>39160</v>
      </c>
      <c r="BR152" s="43">
        <v>40270</v>
      </c>
      <c r="BS152" s="45">
        <v>62110</v>
      </c>
      <c r="BT152" s="33">
        <v>39</v>
      </c>
      <c r="BW152" s="33">
        <v>39</v>
      </c>
      <c r="BX152" s="45">
        <v>55720</v>
      </c>
      <c r="BY152" s="45">
        <v>57220</v>
      </c>
      <c r="BZ152" s="45">
        <v>58850</v>
      </c>
      <c r="CA152" s="33">
        <v>39</v>
      </c>
      <c r="CG152" s="45">
        <v>55720</v>
      </c>
      <c r="CH152" s="33">
        <v>39</v>
      </c>
      <c r="CJ152" s="71" t="s">
        <v>266</v>
      </c>
      <c r="CK152" s="52" t="s">
        <v>339</v>
      </c>
    </row>
    <row r="153" spans="37:90" ht="22.5" hidden="1" customHeight="1">
      <c r="AK153" s="68">
        <f t="shared" si="6"/>
        <v>15</v>
      </c>
      <c r="AQ153" s="69"/>
      <c r="AR153" s="41"/>
      <c r="AV153" s="55" t="s">
        <v>252</v>
      </c>
      <c r="AW153" s="67"/>
      <c r="AX153" s="33">
        <v>38</v>
      </c>
      <c r="AY153" s="33">
        <v>37100</v>
      </c>
      <c r="BA153" s="43">
        <v>39160</v>
      </c>
      <c r="BB153" s="43">
        <v>54220</v>
      </c>
      <c r="BC153" s="33">
        <f t="shared" si="2"/>
        <v>11902</v>
      </c>
      <c r="BD153" s="44">
        <f t="shared" si="3"/>
        <v>11748</v>
      </c>
      <c r="BE153" s="44">
        <f t="shared" si="4"/>
        <v>62810</v>
      </c>
      <c r="BF153" s="45">
        <v>63840</v>
      </c>
      <c r="BG153" s="33" t="s">
        <v>172</v>
      </c>
      <c r="BH153" s="33">
        <f t="shared" si="5"/>
        <v>1730</v>
      </c>
      <c r="BK153" s="46">
        <v>62110</v>
      </c>
      <c r="BL153" s="46">
        <v>63840</v>
      </c>
      <c r="BM153" s="46">
        <v>65570</v>
      </c>
      <c r="BO153" s="33">
        <v>40</v>
      </c>
      <c r="BP153" s="43">
        <v>39160</v>
      </c>
      <c r="BQ153" s="43">
        <v>40270</v>
      </c>
      <c r="BR153" s="43">
        <v>41380</v>
      </c>
      <c r="BS153" s="45">
        <v>63840</v>
      </c>
      <c r="BT153" s="33">
        <v>40</v>
      </c>
      <c r="BW153" s="33">
        <v>40</v>
      </c>
      <c r="BX153" s="45">
        <v>57220</v>
      </c>
      <c r="BY153" s="45">
        <v>58850</v>
      </c>
      <c r="BZ153" s="45">
        <v>60480</v>
      </c>
      <c r="CA153" s="33">
        <v>40</v>
      </c>
      <c r="CG153" s="45">
        <v>57220</v>
      </c>
      <c r="CH153" s="33">
        <v>40</v>
      </c>
      <c r="CJ153" s="71" t="s">
        <v>267</v>
      </c>
      <c r="CK153" s="52" t="s">
        <v>341</v>
      </c>
    </row>
    <row r="154" spans="37:90" ht="22.5" hidden="1" customHeight="1">
      <c r="AK154" s="68">
        <f t="shared" si="6"/>
        <v>16</v>
      </c>
      <c r="AQ154" s="69"/>
      <c r="AR154" s="41"/>
      <c r="AV154" s="55" t="s">
        <v>253</v>
      </c>
      <c r="AW154" s="67"/>
      <c r="AX154" s="33">
        <v>41</v>
      </c>
      <c r="AY154" s="33">
        <v>40270</v>
      </c>
      <c r="BA154" s="43">
        <v>40270</v>
      </c>
      <c r="BB154" s="43">
        <v>55720</v>
      </c>
      <c r="BC154" s="33">
        <f t="shared" si="2"/>
        <v>12239</v>
      </c>
      <c r="BD154" s="44">
        <f t="shared" si="3"/>
        <v>12081</v>
      </c>
      <c r="BE154" s="44">
        <f t="shared" si="4"/>
        <v>64590</v>
      </c>
      <c r="BF154" s="45">
        <v>65570</v>
      </c>
      <c r="BG154" s="33" t="s">
        <v>172</v>
      </c>
      <c r="BH154" s="33">
        <f t="shared" si="5"/>
        <v>1730</v>
      </c>
      <c r="BK154" s="46">
        <v>63840</v>
      </c>
      <c r="BL154" s="46">
        <v>65570</v>
      </c>
      <c r="BM154" s="46">
        <v>67300</v>
      </c>
      <c r="BO154" s="33">
        <v>41</v>
      </c>
      <c r="BP154" s="43">
        <v>40270</v>
      </c>
      <c r="BQ154" s="43">
        <v>41380</v>
      </c>
      <c r="BR154" s="43">
        <v>42490</v>
      </c>
      <c r="BS154" s="45">
        <v>65570</v>
      </c>
      <c r="BT154" s="33">
        <v>41</v>
      </c>
      <c r="BW154" s="33">
        <v>41</v>
      </c>
      <c r="BX154" s="45">
        <v>58850</v>
      </c>
      <c r="BY154" s="45">
        <v>60480</v>
      </c>
      <c r="BZ154" s="45">
        <v>62110</v>
      </c>
      <c r="CA154" s="33">
        <v>41</v>
      </c>
      <c r="CG154" s="45">
        <v>58850</v>
      </c>
      <c r="CH154" s="33">
        <v>41</v>
      </c>
      <c r="CJ154" s="71" t="s">
        <v>268</v>
      </c>
      <c r="CK154" s="52" t="s">
        <v>343</v>
      </c>
    </row>
    <row r="155" spans="37:90" ht="22.5" hidden="1" customHeight="1">
      <c r="AK155" s="68">
        <f t="shared" si="6"/>
        <v>17</v>
      </c>
      <c r="AQ155" s="69"/>
      <c r="AR155" s="41"/>
      <c r="AV155" s="55" t="s">
        <v>254</v>
      </c>
      <c r="AW155" s="67"/>
      <c r="AX155" s="33">
        <v>43</v>
      </c>
      <c r="AY155" s="33">
        <v>42490</v>
      </c>
      <c r="BA155" s="43">
        <v>41380</v>
      </c>
      <c r="BB155" s="43">
        <v>57220</v>
      </c>
      <c r="BC155" s="33">
        <f t="shared" si="2"/>
        <v>12576</v>
      </c>
      <c r="BD155" s="44">
        <f t="shared" si="3"/>
        <v>12414</v>
      </c>
      <c r="BE155" s="44">
        <f t="shared" si="4"/>
        <v>66370</v>
      </c>
      <c r="BF155" s="45">
        <v>67300</v>
      </c>
      <c r="BG155" s="33" t="s">
        <v>172</v>
      </c>
      <c r="BH155" s="33">
        <f t="shared" si="5"/>
        <v>1730</v>
      </c>
      <c r="BK155" s="46">
        <v>65570</v>
      </c>
      <c r="BL155" s="46">
        <v>67300</v>
      </c>
      <c r="BM155" s="46">
        <v>69150</v>
      </c>
      <c r="BO155" s="33">
        <v>42</v>
      </c>
      <c r="BP155" s="43">
        <v>41380</v>
      </c>
      <c r="BQ155" s="43">
        <v>42490</v>
      </c>
      <c r="BR155" s="43">
        <v>43680</v>
      </c>
      <c r="BS155" s="45">
        <v>67300</v>
      </c>
      <c r="BT155" s="33">
        <v>42</v>
      </c>
      <c r="BW155" s="33">
        <v>42</v>
      </c>
      <c r="BX155" s="45">
        <v>60480</v>
      </c>
      <c r="BY155" s="45">
        <v>62110</v>
      </c>
      <c r="BZ155" s="45">
        <v>63840</v>
      </c>
      <c r="CA155" s="33">
        <v>42</v>
      </c>
      <c r="CG155" s="45">
        <v>60480</v>
      </c>
      <c r="CH155" s="33">
        <v>42</v>
      </c>
      <c r="CJ155" s="71" t="s">
        <v>269</v>
      </c>
      <c r="CK155" s="52" t="s">
        <v>345</v>
      </c>
    </row>
    <row r="156" spans="37:90" ht="22.5" hidden="1" customHeight="1">
      <c r="AK156" s="68">
        <f t="shared" si="6"/>
        <v>18</v>
      </c>
      <c r="AQ156" s="69"/>
      <c r="AR156" s="41"/>
      <c r="AV156" s="55" t="s">
        <v>255</v>
      </c>
      <c r="AW156" s="67"/>
      <c r="AX156" s="33">
        <v>46</v>
      </c>
      <c r="AY156" s="33">
        <v>46060</v>
      </c>
      <c r="BA156" s="43">
        <v>42490</v>
      </c>
      <c r="BB156" s="43">
        <v>58850</v>
      </c>
      <c r="BC156" s="33">
        <f t="shared" si="2"/>
        <v>12914</v>
      </c>
      <c r="BD156" s="44">
        <f t="shared" si="3"/>
        <v>12747</v>
      </c>
      <c r="BE156" s="44">
        <f t="shared" si="4"/>
        <v>68151</v>
      </c>
      <c r="BF156" s="45">
        <v>69150</v>
      </c>
      <c r="BG156" s="33" t="s">
        <v>172</v>
      </c>
      <c r="BH156" s="33">
        <f t="shared" si="5"/>
        <v>1850</v>
      </c>
      <c r="BK156" s="46">
        <v>67300</v>
      </c>
      <c r="BL156" s="46">
        <v>69150</v>
      </c>
      <c r="BM156" s="46">
        <v>71000</v>
      </c>
      <c r="BO156" s="33">
        <v>43</v>
      </c>
      <c r="BP156" s="43">
        <v>42490</v>
      </c>
      <c r="BQ156" s="43">
        <v>43680</v>
      </c>
      <c r="BR156" s="43">
        <v>44870</v>
      </c>
      <c r="BS156" s="45">
        <v>69150</v>
      </c>
      <c r="BT156" s="33">
        <v>43</v>
      </c>
      <c r="BW156" s="33">
        <v>43</v>
      </c>
      <c r="BX156" s="45">
        <v>62110</v>
      </c>
      <c r="BY156" s="45">
        <v>63840</v>
      </c>
      <c r="BZ156" s="45">
        <v>65570</v>
      </c>
      <c r="CA156" s="33">
        <v>43</v>
      </c>
      <c r="CG156" s="45">
        <v>62110</v>
      </c>
      <c r="CH156" s="33">
        <v>43</v>
      </c>
      <c r="CJ156" s="71" t="s">
        <v>270</v>
      </c>
      <c r="CK156" s="52" t="s">
        <v>347</v>
      </c>
    </row>
    <row r="157" spans="37:90" ht="22.5" hidden="1" customHeight="1">
      <c r="AK157" s="68">
        <f t="shared" si="6"/>
        <v>19</v>
      </c>
      <c r="AQ157" s="69"/>
      <c r="AR157" s="41"/>
      <c r="AV157" s="55" t="s">
        <v>256</v>
      </c>
      <c r="AW157" s="67"/>
      <c r="AX157" s="33">
        <v>49</v>
      </c>
      <c r="AY157" s="33">
        <v>49870</v>
      </c>
      <c r="BA157" s="43">
        <v>43680</v>
      </c>
      <c r="BB157" s="43">
        <v>60480</v>
      </c>
      <c r="BC157" s="33">
        <f t="shared" si="2"/>
        <v>13275</v>
      </c>
      <c r="BD157" s="44">
        <f t="shared" si="3"/>
        <v>13104</v>
      </c>
      <c r="BE157" s="44">
        <f t="shared" si="4"/>
        <v>70059</v>
      </c>
      <c r="BF157" s="45">
        <v>71000</v>
      </c>
      <c r="BG157" s="33" t="s">
        <v>172</v>
      </c>
      <c r="BH157" s="33">
        <f t="shared" si="5"/>
        <v>1850</v>
      </c>
      <c r="BK157" s="46">
        <v>69150</v>
      </c>
      <c r="BL157" s="46">
        <v>71000</v>
      </c>
      <c r="BM157" s="46">
        <v>72850</v>
      </c>
      <c r="BO157" s="33">
        <v>44</v>
      </c>
      <c r="BP157" s="43">
        <v>43680</v>
      </c>
      <c r="BQ157" s="43">
        <v>44870</v>
      </c>
      <c r="BR157" s="43">
        <v>46060</v>
      </c>
      <c r="BS157" s="45">
        <v>71000</v>
      </c>
      <c r="BT157" s="33">
        <v>44</v>
      </c>
      <c r="BW157" s="33">
        <v>44</v>
      </c>
      <c r="BX157" s="45">
        <v>63840</v>
      </c>
      <c r="BY157" s="45">
        <v>65570</v>
      </c>
      <c r="BZ157" s="45">
        <v>67300</v>
      </c>
      <c r="CA157" s="33">
        <v>44</v>
      </c>
      <c r="CG157" s="45">
        <v>63840</v>
      </c>
      <c r="CH157" s="33">
        <v>44</v>
      </c>
      <c r="CJ157" s="71" t="s">
        <v>271</v>
      </c>
      <c r="CK157" s="52" t="s">
        <v>349</v>
      </c>
    </row>
    <row r="158" spans="37:90" ht="22.5" hidden="1" customHeight="1">
      <c r="AK158" s="68">
        <f t="shared" si="6"/>
        <v>20</v>
      </c>
      <c r="AQ158" s="69"/>
      <c r="AR158" s="41"/>
      <c r="AV158" s="55" t="s">
        <v>257</v>
      </c>
      <c r="AW158" s="67"/>
      <c r="AX158" s="33">
        <v>51</v>
      </c>
      <c r="AY158" s="33">
        <v>52590</v>
      </c>
      <c r="BA158" s="43">
        <v>44870</v>
      </c>
      <c r="BB158" s="43">
        <v>62110</v>
      </c>
      <c r="BC158" s="33">
        <f t="shared" si="2"/>
        <v>13637</v>
      </c>
      <c r="BD158" s="44">
        <f t="shared" si="3"/>
        <v>13461</v>
      </c>
      <c r="BE158" s="44">
        <f t="shared" si="4"/>
        <v>71968</v>
      </c>
      <c r="BF158" s="45">
        <v>72850</v>
      </c>
      <c r="BG158" s="33" t="s">
        <v>172</v>
      </c>
      <c r="BH158" s="33">
        <f t="shared" si="5"/>
        <v>1850</v>
      </c>
      <c r="BK158" s="46">
        <v>71000</v>
      </c>
      <c r="BL158" s="46">
        <v>72850</v>
      </c>
      <c r="BM158" s="46">
        <v>74840</v>
      </c>
      <c r="BO158" s="33">
        <v>45</v>
      </c>
      <c r="BP158" s="43">
        <v>44870</v>
      </c>
      <c r="BQ158" s="43">
        <v>46060</v>
      </c>
      <c r="BR158" s="43">
        <v>47330</v>
      </c>
      <c r="BS158" s="45">
        <v>72850</v>
      </c>
      <c r="BT158" s="33">
        <v>45</v>
      </c>
      <c r="BW158" s="33">
        <v>45</v>
      </c>
      <c r="BX158" s="45">
        <v>65570</v>
      </c>
      <c r="BY158" s="45">
        <v>67300</v>
      </c>
      <c r="BZ158" s="45">
        <v>69150</v>
      </c>
      <c r="CA158" s="33">
        <v>45</v>
      </c>
      <c r="CG158" s="45">
        <v>65570</v>
      </c>
      <c r="CH158" s="33">
        <v>45</v>
      </c>
      <c r="CJ158" s="71" t="s">
        <v>272</v>
      </c>
      <c r="CK158" s="52" t="s">
        <v>351</v>
      </c>
    </row>
    <row r="159" spans="37:90" ht="22.5" hidden="1" customHeight="1">
      <c r="AK159" s="68">
        <f t="shared" si="6"/>
        <v>21</v>
      </c>
      <c r="AV159" s="55" t="s">
        <v>258</v>
      </c>
      <c r="AW159" s="67"/>
      <c r="AX159" s="33">
        <v>54</v>
      </c>
      <c r="AY159" s="33">
        <v>56870</v>
      </c>
      <c r="BA159" s="43">
        <v>46060</v>
      </c>
      <c r="BB159" s="43">
        <v>63840</v>
      </c>
      <c r="BC159" s="33">
        <f t="shared" si="2"/>
        <v>13999</v>
      </c>
      <c r="BD159" s="44">
        <f t="shared" si="3"/>
        <v>13818</v>
      </c>
      <c r="BE159" s="44">
        <f t="shared" si="4"/>
        <v>73877</v>
      </c>
      <c r="BF159" s="45">
        <v>74840</v>
      </c>
      <c r="BG159" s="33" t="s">
        <v>172</v>
      </c>
      <c r="BH159" s="33">
        <f t="shared" si="5"/>
        <v>1990</v>
      </c>
      <c r="BK159" s="46">
        <v>72850</v>
      </c>
      <c r="BL159" s="46">
        <v>74840</v>
      </c>
      <c r="BM159" s="46">
        <v>76830</v>
      </c>
      <c r="BO159" s="33">
        <v>46</v>
      </c>
      <c r="BP159" s="43">
        <v>46060</v>
      </c>
      <c r="BQ159" s="43">
        <v>47330</v>
      </c>
      <c r="BR159" s="43">
        <v>48600</v>
      </c>
      <c r="BS159" s="45">
        <v>74840</v>
      </c>
      <c r="BT159" s="33">
        <v>46</v>
      </c>
      <c r="BW159" s="33">
        <v>46</v>
      </c>
      <c r="BX159" s="45">
        <v>67300</v>
      </c>
      <c r="BY159" s="45">
        <v>69150</v>
      </c>
      <c r="BZ159" s="45">
        <v>71000</v>
      </c>
      <c r="CA159" s="33">
        <v>46</v>
      </c>
      <c r="CG159" s="45">
        <v>67300</v>
      </c>
      <c r="CH159" s="33">
        <v>46</v>
      </c>
      <c r="CJ159" s="71" t="s">
        <v>273</v>
      </c>
      <c r="CK159" s="52" t="s">
        <v>353</v>
      </c>
    </row>
    <row r="160" spans="37:90" ht="22.5" hidden="1" customHeight="1">
      <c r="AK160" s="68">
        <f t="shared" si="6"/>
        <v>22</v>
      </c>
      <c r="AV160" s="55" t="s">
        <v>259</v>
      </c>
      <c r="AW160" s="67"/>
      <c r="AX160" s="33">
        <v>57</v>
      </c>
      <c r="AY160" s="33">
        <v>61450</v>
      </c>
      <c r="BA160" s="43">
        <v>47330</v>
      </c>
      <c r="BB160" s="43">
        <v>65570</v>
      </c>
      <c r="BC160" s="33">
        <f t="shared" si="2"/>
        <v>14385</v>
      </c>
      <c r="BD160" s="44">
        <f t="shared" si="3"/>
        <v>14199</v>
      </c>
      <c r="BE160" s="44">
        <f t="shared" si="4"/>
        <v>75914</v>
      </c>
      <c r="BF160" s="45">
        <v>76830</v>
      </c>
      <c r="BG160" s="33" t="s">
        <v>172</v>
      </c>
      <c r="BH160" s="33">
        <f t="shared" si="5"/>
        <v>1990</v>
      </c>
      <c r="BK160" s="46">
        <v>74840</v>
      </c>
      <c r="BL160" s="46">
        <v>76830</v>
      </c>
      <c r="BM160" s="46">
        <v>78820</v>
      </c>
      <c r="BO160" s="33">
        <v>47</v>
      </c>
      <c r="BP160" s="43">
        <v>47330</v>
      </c>
      <c r="BQ160" s="43">
        <v>48600</v>
      </c>
      <c r="BR160" s="43">
        <v>49870</v>
      </c>
      <c r="BS160" s="45">
        <v>76830</v>
      </c>
      <c r="BT160" s="33">
        <v>47</v>
      </c>
      <c r="BW160" s="33">
        <v>47</v>
      </c>
      <c r="BX160" s="45">
        <v>69150</v>
      </c>
      <c r="BY160" s="45">
        <v>71000</v>
      </c>
      <c r="BZ160" s="45">
        <v>72850</v>
      </c>
      <c r="CA160" s="33">
        <v>47</v>
      </c>
      <c r="CG160" s="45">
        <v>69150</v>
      </c>
      <c r="CH160" s="33">
        <v>47</v>
      </c>
      <c r="CJ160" s="71" t="s">
        <v>274</v>
      </c>
      <c r="CK160" s="52" t="s">
        <v>355</v>
      </c>
    </row>
    <row r="161" spans="37:89" ht="22.5" hidden="1" customHeight="1">
      <c r="AK161" s="68">
        <f t="shared" si="6"/>
        <v>23</v>
      </c>
      <c r="AV161" s="55" t="s">
        <v>260</v>
      </c>
      <c r="AW161" s="67"/>
      <c r="AX161" s="33">
        <v>60</v>
      </c>
      <c r="AY161" s="33">
        <v>66330</v>
      </c>
      <c r="BA161" s="43">
        <v>48600</v>
      </c>
      <c r="BB161" s="43">
        <v>67300</v>
      </c>
      <c r="BC161" s="33">
        <f t="shared" si="2"/>
        <v>14771</v>
      </c>
      <c r="BD161" s="44">
        <f t="shared" si="3"/>
        <v>14580</v>
      </c>
      <c r="BE161" s="44">
        <f t="shared" si="4"/>
        <v>77951</v>
      </c>
      <c r="BF161" s="45">
        <v>78820</v>
      </c>
      <c r="BG161" s="33" t="s">
        <v>172</v>
      </c>
      <c r="BH161" s="33">
        <f t="shared" si="5"/>
        <v>1990</v>
      </c>
      <c r="BK161" s="46">
        <v>76830</v>
      </c>
      <c r="BL161" s="46">
        <v>78820</v>
      </c>
      <c r="BM161" s="46">
        <v>80960</v>
      </c>
      <c r="BO161" s="33">
        <v>48</v>
      </c>
      <c r="BP161" s="43">
        <v>48600</v>
      </c>
      <c r="BQ161" s="43">
        <v>49870</v>
      </c>
      <c r="BR161" s="43">
        <v>51230</v>
      </c>
      <c r="BS161" s="45">
        <v>78820</v>
      </c>
      <c r="BT161" s="33">
        <v>48</v>
      </c>
      <c r="BW161" s="33">
        <v>48</v>
      </c>
      <c r="BX161" s="45">
        <v>71000</v>
      </c>
      <c r="BY161" s="45">
        <v>72850</v>
      </c>
      <c r="BZ161" s="45">
        <v>74840</v>
      </c>
      <c r="CA161" s="33">
        <v>48</v>
      </c>
      <c r="CG161" s="45">
        <v>71000</v>
      </c>
      <c r="CH161" s="33">
        <v>48</v>
      </c>
      <c r="CJ161" s="71" t="s">
        <v>275</v>
      </c>
      <c r="CK161" s="52" t="s">
        <v>357</v>
      </c>
    </row>
    <row r="162" spans="37:89" ht="22.5" hidden="1" customHeight="1">
      <c r="AK162" s="68">
        <f t="shared" si="6"/>
        <v>24</v>
      </c>
      <c r="AV162" s="55" t="s">
        <v>261</v>
      </c>
      <c r="AW162" s="67"/>
      <c r="AX162" s="33">
        <v>64</v>
      </c>
      <c r="AY162" s="33">
        <v>73270</v>
      </c>
      <c r="BA162" s="43">
        <v>49870</v>
      </c>
      <c r="BB162" s="43">
        <v>69150</v>
      </c>
      <c r="BC162" s="33">
        <f t="shared" si="2"/>
        <v>15156</v>
      </c>
      <c r="BD162" s="44">
        <f t="shared" si="3"/>
        <v>14961</v>
      </c>
      <c r="BE162" s="44">
        <f t="shared" si="4"/>
        <v>79987</v>
      </c>
      <c r="BF162" s="45">
        <v>80960</v>
      </c>
      <c r="BG162" s="33" t="s">
        <v>172</v>
      </c>
      <c r="BH162" s="33">
        <f t="shared" si="5"/>
        <v>2140</v>
      </c>
      <c r="BK162" s="46">
        <v>78820</v>
      </c>
      <c r="BL162" s="46">
        <v>80960</v>
      </c>
      <c r="BM162" s="46">
        <v>83100</v>
      </c>
      <c r="BO162" s="33">
        <v>49</v>
      </c>
      <c r="BP162" s="43">
        <v>49870</v>
      </c>
      <c r="BQ162" s="43">
        <v>51230</v>
      </c>
      <c r="BR162" s="43">
        <v>52590</v>
      </c>
      <c r="BS162" s="45">
        <v>80960</v>
      </c>
      <c r="BT162" s="33">
        <v>49</v>
      </c>
      <c r="BW162" s="33">
        <v>49</v>
      </c>
      <c r="BX162" s="45">
        <v>72850</v>
      </c>
      <c r="BY162" s="45">
        <v>74840</v>
      </c>
      <c r="BZ162" s="45">
        <v>76830</v>
      </c>
      <c r="CA162" s="33">
        <v>49</v>
      </c>
      <c r="CG162" s="45">
        <v>72850</v>
      </c>
      <c r="CH162" s="33">
        <v>49</v>
      </c>
      <c r="CJ162" s="71" t="s">
        <v>276</v>
      </c>
      <c r="CK162" s="52" t="s">
        <v>359</v>
      </c>
    </row>
    <row r="163" spans="37:89" ht="22.5" hidden="1" customHeight="1">
      <c r="AK163" s="68">
        <f t="shared" si="6"/>
        <v>25</v>
      </c>
      <c r="AV163" s="55" t="s">
        <v>262</v>
      </c>
      <c r="AW163" s="67"/>
      <c r="AX163" s="33">
        <v>68</v>
      </c>
      <c r="AY163" s="33">
        <v>80930</v>
      </c>
      <c r="BA163" s="43">
        <v>51230</v>
      </c>
      <c r="BB163" s="43">
        <v>71000</v>
      </c>
      <c r="BC163" s="33">
        <f t="shared" si="2"/>
        <v>15570</v>
      </c>
      <c r="BD163" s="44">
        <f t="shared" si="3"/>
        <v>15369</v>
      </c>
      <c r="BE163" s="44">
        <f t="shared" si="4"/>
        <v>82169</v>
      </c>
      <c r="BF163" s="45">
        <v>83100</v>
      </c>
      <c r="BG163" s="33" t="s">
        <v>172</v>
      </c>
      <c r="BH163" s="33">
        <f t="shared" si="5"/>
        <v>2140</v>
      </c>
      <c r="BK163" s="46">
        <v>80960</v>
      </c>
      <c r="BL163" s="46">
        <v>83100</v>
      </c>
      <c r="BM163" s="46">
        <v>85240</v>
      </c>
      <c r="BO163" s="33">
        <v>50</v>
      </c>
      <c r="BP163" s="43">
        <v>51230</v>
      </c>
      <c r="BQ163" s="43">
        <v>52590</v>
      </c>
      <c r="BR163" s="43">
        <v>53950</v>
      </c>
      <c r="BS163" s="45">
        <v>83100</v>
      </c>
      <c r="BT163" s="33">
        <v>50</v>
      </c>
      <c r="BW163" s="33">
        <v>50</v>
      </c>
      <c r="BX163" s="45">
        <v>74840</v>
      </c>
      <c r="BY163" s="45">
        <v>76830</v>
      </c>
      <c r="BZ163" s="45">
        <v>78820</v>
      </c>
      <c r="CA163" s="33">
        <v>50</v>
      </c>
      <c r="CG163" s="45">
        <v>74840</v>
      </c>
      <c r="CH163" s="33">
        <v>50</v>
      </c>
      <c r="CJ163" s="71" t="s">
        <v>277</v>
      </c>
      <c r="CK163" s="52" t="s">
        <v>361</v>
      </c>
    </row>
    <row r="164" spans="37:89" ht="22.5" hidden="1" customHeight="1" thickBot="1">
      <c r="AK164" s="68">
        <f t="shared" si="6"/>
        <v>26</v>
      </c>
      <c r="AV164" s="70" t="s">
        <v>263</v>
      </c>
      <c r="AW164" s="72"/>
      <c r="AX164" s="33">
        <v>71</v>
      </c>
      <c r="AY164" s="33">
        <v>87130</v>
      </c>
      <c r="BA164" s="43">
        <v>52590</v>
      </c>
      <c r="BB164" s="43">
        <v>72850</v>
      </c>
      <c r="BC164" s="33">
        <f t="shared" si="2"/>
        <v>15983</v>
      </c>
      <c r="BD164" s="44">
        <f t="shared" si="3"/>
        <v>15777</v>
      </c>
      <c r="BE164" s="44">
        <f t="shared" si="4"/>
        <v>84350</v>
      </c>
      <c r="BF164" s="45">
        <v>85240</v>
      </c>
      <c r="BG164" s="33" t="s">
        <v>172</v>
      </c>
      <c r="BH164" s="33">
        <f t="shared" si="5"/>
        <v>2140</v>
      </c>
      <c r="BK164" s="46">
        <v>83100</v>
      </c>
      <c r="BL164" s="46">
        <v>85240</v>
      </c>
      <c r="BM164" s="46">
        <v>87510</v>
      </c>
      <c r="BO164" s="33">
        <v>51</v>
      </c>
      <c r="BP164" s="43">
        <v>52590</v>
      </c>
      <c r="BQ164" s="43">
        <v>53950</v>
      </c>
      <c r="BR164" s="43">
        <v>55410</v>
      </c>
      <c r="BS164" s="45">
        <v>85240</v>
      </c>
      <c r="BT164" s="33">
        <v>51</v>
      </c>
      <c r="BW164" s="33">
        <v>51</v>
      </c>
      <c r="BX164" s="45">
        <v>76830</v>
      </c>
      <c r="BY164" s="45">
        <v>78820</v>
      </c>
      <c r="BZ164" s="45">
        <v>80960</v>
      </c>
      <c r="CA164" s="33">
        <v>51</v>
      </c>
      <c r="CG164" s="45">
        <v>76830</v>
      </c>
      <c r="CH164" s="33">
        <v>51</v>
      </c>
      <c r="CJ164" s="73" t="s">
        <v>278</v>
      </c>
      <c r="CK164" s="52" t="s">
        <v>363</v>
      </c>
    </row>
    <row r="165" spans="37:89" ht="22.5" hidden="1" customHeight="1">
      <c r="AK165" s="68">
        <f t="shared" si="6"/>
        <v>27</v>
      </c>
      <c r="BA165" s="43">
        <v>53950</v>
      </c>
      <c r="BB165" s="43">
        <v>74840</v>
      </c>
      <c r="BC165" s="33">
        <f t="shared" si="2"/>
        <v>16396</v>
      </c>
      <c r="BD165" s="44">
        <f t="shared" si="3"/>
        <v>16185</v>
      </c>
      <c r="BE165" s="44">
        <f t="shared" si="4"/>
        <v>86531</v>
      </c>
      <c r="BF165" s="45">
        <v>87510</v>
      </c>
      <c r="BG165" s="33" t="s">
        <v>172</v>
      </c>
      <c r="BH165" s="33">
        <f t="shared" si="5"/>
        <v>2270</v>
      </c>
      <c r="BK165" s="46">
        <v>85240</v>
      </c>
      <c r="BL165" s="46">
        <v>87510</v>
      </c>
      <c r="BM165" s="46">
        <v>89780</v>
      </c>
      <c r="BO165" s="33">
        <v>52</v>
      </c>
      <c r="BP165" s="43">
        <v>53950</v>
      </c>
      <c r="BQ165" s="43">
        <v>55410</v>
      </c>
      <c r="BR165" s="43">
        <v>56870</v>
      </c>
      <c r="BS165" s="45">
        <v>87510</v>
      </c>
      <c r="BT165" s="33">
        <v>52</v>
      </c>
      <c r="BW165" s="33">
        <v>52</v>
      </c>
      <c r="BX165" s="45">
        <v>78820</v>
      </c>
      <c r="BY165" s="45">
        <v>80960</v>
      </c>
      <c r="BZ165" s="45">
        <v>83100</v>
      </c>
      <c r="CA165" s="33">
        <v>52</v>
      </c>
      <c r="CG165" s="45">
        <v>78820</v>
      </c>
      <c r="CH165" s="33">
        <v>52</v>
      </c>
      <c r="CJ165" s="73" t="s">
        <v>279</v>
      </c>
      <c r="CK165" s="52" t="s">
        <v>365</v>
      </c>
    </row>
    <row r="166" spans="37:89" ht="22.5" hidden="1" customHeight="1">
      <c r="AK166" s="68">
        <f t="shared" si="6"/>
        <v>28</v>
      </c>
      <c r="BA166" s="43">
        <v>55410</v>
      </c>
      <c r="BB166" s="43">
        <v>76830</v>
      </c>
      <c r="BC166" s="33">
        <f t="shared" si="2"/>
        <v>16840</v>
      </c>
      <c r="BD166" s="44">
        <f t="shared" si="3"/>
        <v>16623</v>
      </c>
      <c r="BE166" s="44">
        <f t="shared" si="4"/>
        <v>88873</v>
      </c>
      <c r="BF166" s="45">
        <v>89780</v>
      </c>
      <c r="BG166" s="33" t="s">
        <v>172</v>
      </c>
      <c r="BH166" s="33">
        <f t="shared" si="5"/>
        <v>2270</v>
      </c>
      <c r="BK166" s="46">
        <v>87510</v>
      </c>
      <c r="BL166" s="46">
        <v>89780</v>
      </c>
      <c r="BM166" s="46">
        <v>92050</v>
      </c>
      <c r="BO166" s="33">
        <v>53</v>
      </c>
      <c r="BP166" s="43">
        <v>55410</v>
      </c>
      <c r="BQ166" s="43">
        <v>56870</v>
      </c>
      <c r="BR166" s="43">
        <v>58330</v>
      </c>
      <c r="BS166" s="45">
        <v>89780</v>
      </c>
      <c r="BT166" s="33">
        <v>53</v>
      </c>
      <c r="BW166" s="33">
        <v>53</v>
      </c>
      <c r="BX166" s="45">
        <v>80960</v>
      </c>
      <c r="BY166" s="45">
        <v>83100</v>
      </c>
      <c r="BZ166" s="45">
        <v>85240</v>
      </c>
      <c r="CA166" s="33">
        <v>53</v>
      </c>
      <c r="CG166" s="45">
        <v>80960</v>
      </c>
      <c r="CH166" s="33">
        <v>53</v>
      </c>
      <c r="CJ166" s="73" t="s">
        <v>280</v>
      </c>
      <c r="CK166" s="52" t="s">
        <v>367</v>
      </c>
    </row>
    <row r="167" spans="37:89" ht="22.5" hidden="1" customHeight="1" thickBot="1">
      <c r="AK167" s="68">
        <f t="shared" si="6"/>
        <v>29</v>
      </c>
      <c r="BA167" s="43">
        <v>56870</v>
      </c>
      <c r="BB167" s="43">
        <v>78820</v>
      </c>
      <c r="BC167" s="33">
        <f t="shared" si="2"/>
        <v>17284</v>
      </c>
      <c r="BD167" s="44">
        <f t="shared" si="3"/>
        <v>17061</v>
      </c>
      <c r="BE167" s="44">
        <f t="shared" si="4"/>
        <v>91215</v>
      </c>
      <c r="BF167" s="45">
        <v>92050</v>
      </c>
      <c r="BG167" s="33" t="s">
        <v>172</v>
      </c>
      <c r="BH167" s="33">
        <f t="shared" si="5"/>
        <v>2270</v>
      </c>
      <c r="BK167" s="46">
        <v>89780</v>
      </c>
      <c r="BL167" s="46">
        <v>92050</v>
      </c>
      <c r="BM167" s="46">
        <v>94470</v>
      </c>
      <c r="BO167" s="33">
        <v>54</v>
      </c>
      <c r="BP167" s="43">
        <v>56870</v>
      </c>
      <c r="BQ167" s="43">
        <v>58330</v>
      </c>
      <c r="BR167" s="43">
        <v>59890</v>
      </c>
      <c r="BS167" s="45">
        <v>92050</v>
      </c>
      <c r="BT167" s="33">
        <v>54</v>
      </c>
      <c r="BW167" s="33">
        <v>54</v>
      </c>
      <c r="BX167" s="45">
        <v>83100</v>
      </c>
      <c r="BY167" s="45">
        <v>85240</v>
      </c>
      <c r="BZ167" s="45">
        <v>87510</v>
      </c>
      <c r="CA167" s="33">
        <v>54</v>
      </c>
      <c r="CG167" s="45">
        <v>83100</v>
      </c>
      <c r="CH167" s="33">
        <v>54</v>
      </c>
      <c r="CJ167" s="73" t="s">
        <v>281</v>
      </c>
      <c r="CK167" s="52" t="s">
        <v>369</v>
      </c>
    </row>
    <row r="168" spans="37:89" ht="22.5" hidden="1" customHeight="1" thickBot="1">
      <c r="AK168" s="68">
        <f t="shared" si="6"/>
        <v>30</v>
      </c>
      <c r="AV168" s="64" t="s">
        <v>198</v>
      </c>
      <c r="AW168" s="65"/>
      <c r="AX168" s="57">
        <v>1000</v>
      </c>
      <c r="BA168" s="43">
        <v>58330</v>
      </c>
      <c r="BB168" s="43">
        <v>80960</v>
      </c>
      <c r="BC168" s="33">
        <f t="shared" si="2"/>
        <v>17728</v>
      </c>
      <c r="BD168" s="44">
        <f t="shared" si="3"/>
        <v>17499</v>
      </c>
      <c r="BE168" s="44">
        <f t="shared" si="4"/>
        <v>93557</v>
      </c>
      <c r="BF168" s="45">
        <v>94470</v>
      </c>
      <c r="BG168" s="33" t="s">
        <v>172</v>
      </c>
      <c r="BH168" s="33">
        <f t="shared" si="5"/>
        <v>2420</v>
      </c>
      <c r="BK168" s="46">
        <v>92050</v>
      </c>
      <c r="BL168" s="46">
        <v>94470</v>
      </c>
      <c r="BM168" s="46">
        <v>96890</v>
      </c>
      <c r="BO168" s="33">
        <v>55</v>
      </c>
      <c r="BP168" s="43">
        <v>58330</v>
      </c>
      <c r="BQ168" s="43">
        <v>59890</v>
      </c>
      <c r="BR168" s="43">
        <v>61450</v>
      </c>
      <c r="BS168" s="45">
        <v>94470</v>
      </c>
      <c r="BT168" s="33">
        <v>55</v>
      </c>
      <c r="BW168" s="33">
        <v>55</v>
      </c>
      <c r="BX168" s="45">
        <v>85240</v>
      </c>
      <c r="BY168" s="45">
        <v>87510</v>
      </c>
      <c r="BZ168" s="45">
        <v>89780</v>
      </c>
      <c r="CA168" s="33">
        <v>55</v>
      </c>
      <c r="CG168" s="45">
        <v>85240</v>
      </c>
      <c r="CH168" s="33">
        <v>55</v>
      </c>
      <c r="CJ168" s="73" t="s">
        <v>282</v>
      </c>
      <c r="CK168" s="52" t="s">
        <v>371</v>
      </c>
    </row>
    <row r="169" spans="37:89" ht="22.5" hidden="1" customHeight="1">
      <c r="AK169" s="68">
        <f t="shared" si="6"/>
        <v>31</v>
      </c>
      <c r="AV169" s="71" t="s">
        <v>264</v>
      </c>
      <c r="AW169" s="67"/>
      <c r="AX169" s="33">
        <v>1</v>
      </c>
      <c r="AY169" s="33">
        <v>19000</v>
      </c>
      <c r="BA169" s="43">
        <v>59890</v>
      </c>
      <c r="BB169" s="43">
        <v>83100</v>
      </c>
      <c r="BC169" s="33">
        <f t="shared" si="2"/>
        <v>18202</v>
      </c>
      <c r="BD169" s="44">
        <f t="shared" si="3"/>
        <v>17967</v>
      </c>
      <c r="BE169" s="44">
        <f t="shared" si="4"/>
        <v>96059</v>
      </c>
      <c r="BF169" s="45">
        <v>96890</v>
      </c>
      <c r="BG169" s="33" t="s">
        <v>172</v>
      </c>
      <c r="BH169" s="33">
        <f t="shared" si="5"/>
        <v>2420</v>
      </c>
      <c r="BK169" s="46">
        <v>94470</v>
      </c>
      <c r="BL169" s="46">
        <v>96890</v>
      </c>
      <c r="BM169" s="46">
        <v>99310</v>
      </c>
      <c r="BO169" s="33">
        <v>56</v>
      </c>
      <c r="BP169" s="43">
        <v>59890</v>
      </c>
      <c r="BQ169" s="43">
        <v>61450</v>
      </c>
      <c r="BR169" s="43">
        <v>63010</v>
      </c>
      <c r="BS169" s="45">
        <v>96890</v>
      </c>
      <c r="BT169" s="33">
        <v>56</v>
      </c>
      <c r="BW169" s="33">
        <v>56</v>
      </c>
      <c r="BX169" s="45">
        <v>87510</v>
      </c>
      <c r="BY169" s="45">
        <v>89780</v>
      </c>
      <c r="BZ169" s="45">
        <v>92050</v>
      </c>
      <c r="CA169" s="33">
        <v>56</v>
      </c>
      <c r="CG169" s="45">
        <v>87510</v>
      </c>
      <c r="CH169" s="33">
        <v>56</v>
      </c>
      <c r="CJ169" s="73" t="s">
        <v>283</v>
      </c>
      <c r="CK169" s="52" t="s">
        <v>373</v>
      </c>
    </row>
    <row r="170" spans="37:89" ht="22.5" hidden="1" customHeight="1">
      <c r="AV170" s="71" t="s">
        <v>265</v>
      </c>
      <c r="AW170" s="67"/>
      <c r="AX170" s="33">
        <v>2</v>
      </c>
      <c r="AY170" s="33">
        <v>19640</v>
      </c>
      <c r="BA170" s="43">
        <v>61450</v>
      </c>
      <c r="BB170" s="43">
        <v>85240</v>
      </c>
      <c r="BC170" s="33">
        <f t="shared" si="2"/>
        <v>18676</v>
      </c>
      <c r="BD170" s="44">
        <f t="shared" si="3"/>
        <v>18435</v>
      </c>
      <c r="BE170" s="44">
        <f t="shared" si="4"/>
        <v>98561</v>
      </c>
      <c r="BF170" s="45">
        <v>99310</v>
      </c>
      <c r="BG170" s="33" t="s">
        <v>172</v>
      </c>
      <c r="BH170" s="33">
        <f t="shared" si="5"/>
        <v>2420</v>
      </c>
      <c r="BK170" s="46">
        <v>96890</v>
      </c>
      <c r="BL170" s="46">
        <v>99310</v>
      </c>
      <c r="BM170" s="46">
        <v>101870</v>
      </c>
      <c r="BO170" s="33">
        <v>57</v>
      </c>
      <c r="BP170" s="43">
        <v>61450</v>
      </c>
      <c r="BQ170" s="43">
        <v>63010</v>
      </c>
      <c r="BR170" s="43">
        <v>64670</v>
      </c>
      <c r="BS170" s="45">
        <v>99310</v>
      </c>
      <c r="BT170" s="33">
        <v>57</v>
      </c>
      <c r="BW170" s="33">
        <v>57</v>
      </c>
      <c r="BX170" s="45">
        <v>89780</v>
      </c>
      <c r="BY170" s="45">
        <v>92050</v>
      </c>
      <c r="BZ170" s="45">
        <v>94470</v>
      </c>
      <c r="CA170" s="33">
        <v>57</v>
      </c>
      <c r="CG170" s="45">
        <v>89780</v>
      </c>
      <c r="CH170" s="33">
        <v>57</v>
      </c>
      <c r="CJ170" s="73" t="s">
        <v>284</v>
      </c>
      <c r="CK170" s="52" t="s">
        <v>375</v>
      </c>
    </row>
    <row r="171" spans="37:89" ht="22.5" hidden="1" customHeight="1">
      <c r="AM171" s="74">
        <f>VLOOKUP(P52,AM172:AN180,2,0)</f>
        <v>44317</v>
      </c>
      <c r="AV171" s="71" t="s">
        <v>266</v>
      </c>
      <c r="AW171" s="67"/>
      <c r="AX171" s="33">
        <v>3</v>
      </c>
      <c r="AY171" s="33">
        <v>20280</v>
      </c>
      <c r="BA171" s="43">
        <v>63010</v>
      </c>
      <c r="BB171" s="43">
        <v>87510</v>
      </c>
      <c r="BC171" s="33">
        <f t="shared" si="2"/>
        <v>19150</v>
      </c>
      <c r="BD171" s="44">
        <f t="shared" si="3"/>
        <v>18903</v>
      </c>
      <c r="BE171" s="44">
        <f t="shared" si="4"/>
        <v>101063</v>
      </c>
      <c r="BF171" s="45">
        <v>101870</v>
      </c>
      <c r="BG171" s="33" t="s">
        <v>172</v>
      </c>
      <c r="BH171" s="33">
        <f t="shared" si="5"/>
        <v>2560</v>
      </c>
      <c r="BK171" s="46">
        <v>99310</v>
      </c>
      <c r="BL171" s="46">
        <v>101870</v>
      </c>
      <c r="BM171" s="46">
        <v>104430</v>
      </c>
      <c r="BO171" s="33">
        <v>58</v>
      </c>
      <c r="BP171" s="43">
        <v>63010</v>
      </c>
      <c r="BQ171" s="43">
        <v>64670</v>
      </c>
      <c r="BR171" s="43">
        <v>66330</v>
      </c>
      <c r="BS171" s="45">
        <v>101870</v>
      </c>
      <c r="BT171" s="33">
        <v>58</v>
      </c>
      <c r="BW171" s="33">
        <v>58</v>
      </c>
      <c r="BX171" s="45">
        <v>92050</v>
      </c>
      <c r="BY171" s="45">
        <v>94470</v>
      </c>
      <c r="BZ171" s="45">
        <v>96890</v>
      </c>
      <c r="CA171" s="33">
        <v>58</v>
      </c>
      <c r="CG171" s="45">
        <v>92050</v>
      </c>
      <c r="CH171" s="33">
        <v>58</v>
      </c>
      <c r="CJ171" s="73" t="s">
        <v>285</v>
      </c>
      <c r="CK171" s="52" t="s">
        <v>377</v>
      </c>
    </row>
    <row r="172" spans="37:89" ht="22.5" hidden="1" customHeight="1">
      <c r="AK172" s="75" t="s">
        <v>198</v>
      </c>
      <c r="AM172" s="33" t="s">
        <v>412</v>
      </c>
      <c r="AN172" s="59">
        <v>44287</v>
      </c>
      <c r="AV172" s="71" t="s">
        <v>267</v>
      </c>
      <c r="AW172" s="67"/>
      <c r="AX172" s="33">
        <v>5</v>
      </c>
      <c r="AY172" s="33">
        <v>21580</v>
      </c>
      <c r="BA172" s="43">
        <v>64670</v>
      </c>
      <c r="BB172" s="43">
        <v>89780</v>
      </c>
      <c r="BC172" s="33">
        <f t="shared" si="2"/>
        <v>19655</v>
      </c>
      <c r="BD172" s="44">
        <f t="shared" si="3"/>
        <v>19401</v>
      </c>
      <c r="BE172" s="44">
        <f t="shared" si="4"/>
        <v>103726</v>
      </c>
      <c r="BF172" s="45">
        <v>104430</v>
      </c>
      <c r="BG172" s="33" t="s">
        <v>172</v>
      </c>
      <c r="BH172" s="33">
        <f t="shared" si="5"/>
        <v>2560</v>
      </c>
      <c r="BK172" s="46">
        <v>101870</v>
      </c>
      <c r="BL172" s="46">
        <v>104430</v>
      </c>
      <c r="BM172" s="46">
        <v>106990</v>
      </c>
      <c r="BO172" s="33">
        <v>59</v>
      </c>
      <c r="BP172" s="43">
        <v>64670</v>
      </c>
      <c r="BQ172" s="43">
        <v>66330</v>
      </c>
      <c r="BR172" s="43">
        <v>67990</v>
      </c>
      <c r="BS172" s="45">
        <v>104430</v>
      </c>
      <c r="BT172" s="33">
        <v>59</v>
      </c>
      <c r="BW172" s="33">
        <v>59</v>
      </c>
      <c r="BX172" s="45">
        <v>94470</v>
      </c>
      <c r="BY172" s="45">
        <v>96890</v>
      </c>
      <c r="BZ172" s="45">
        <v>99310</v>
      </c>
      <c r="CA172" s="33">
        <v>59</v>
      </c>
      <c r="CG172" s="45">
        <v>94470</v>
      </c>
      <c r="CH172" s="33">
        <v>59</v>
      </c>
      <c r="CJ172" s="73" t="s">
        <v>286</v>
      </c>
      <c r="CK172" s="52" t="s">
        <v>379</v>
      </c>
    </row>
    <row r="173" spans="37:89" ht="22.5" hidden="1" customHeight="1">
      <c r="AK173" s="75">
        <v>2018</v>
      </c>
      <c r="AM173" s="33" t="s">
        <v>413</v>
      </c>
      <c r="AN173" s="59">
        <v>44317</v>
      </c>
      <c r="AV173" s="71" t="s">
        <v>268</v>
      </c>
      <c r="AW173" s="67"/>
      <c r="AX173" s="33">
        <v>6</v>
      </c>
      <c r="AY173" s="33">
        <v>22240</v>
      </c>
      <c r="BA173" s="43">
        <v>66330</v>
      </c>
      <c r="BB173" s="43">
        <v>92050</v>
      </c>
      <c r="BC173" s="33">
        <f t="shared" si="2"/>
        <v>20159</v>
      </c>
      <c r="BD173" s="44">
        <f t="shared" si="3"/>
        <v>19899</v>
      </c>
      <c r="BE173" s="44">
        <f t="shared" si="4"/>
        <v>106388</v>
      </c>
      <c r="BF173" s="45">
        <v>106990</v>
      </c>
      <c r="BG173" s="33" t="s">
        <v>172</v>
      </c>
      <c r="BH173" s="33">
        <f t="shared" si="5"/>
        <v>2560</v>
      </c>
      <c r="BK173" s="46">
        <v>104430</v>
      </c>
      <c r="BL173" s="46">
        <v>106990</v>
      </c>
      <c r="BM173" s="46">
        <v>109750</v>
      </c>
      <c r="BO173" s="33">
        <v>60</v>
      </c>
      <c r="BP173" s="43">
        <v>66330</v>
      </c>
      <c r="BQ173" s="43">
        <v>67990</v>
      </c>
      <c r="BR173" s="43">
        <v>69750</v>
      </c>
      <c r="BS173" s="45">
        <v>106990</v>
      </c>
      <c r="BT173" s="33">
        <v>60</v>
      </c>
      <c r="BW173" s="33">
        <v>60</v>
      </c>
      <c r="BX173" s="45">
        <v>96890</v>
      </c>
      <c r="BY173" s="45">
        <v>99310</v>
      </c>
      <c r="BZ173" s="45">
        <v>101870</v>
      </c>
      <c r="CA173" s="33">
        <v>60</v>
      </c>
      <c r="CG173" s="45">
        <v>96890</v>
      </c>
      <c r="CH173" s="33">
        <v>60</v>
      </c>
      <c r="CJ173" s="71" t="s">
        <v>287</v>
      </c>
      <c r="CK173" s="52" t="s">
        <v>381</v>
      </c>
    </row>
    <row r="174" spans="37:89" ht="22.5" hidden="1" customHeight="1">
      <c r="AK174" s="75">
        <v>2019</v>
      </c>
      <c r="AM174" s="33" t="s">
        <v>414</v>
      </c>
      <c r="AN174" s="59">
        <v>44348</v>
      </c>
      <c r="AV174" s="71" t="s">
        <v>269</v>
      </c>
      <c r="AW174" s="67"/>
      <c r="AX174" s="33">
        <v>7</v>
      </c>
      <c r="AY174" s="33">
        <v>22900</v>
      </c>
      <c r="BA174" s="43">
        <v>67990</v>
      </c>
      <c r="BB174" s="43">
        <v>94470</v>
      </c>
      <c r="BC174" s="33">
        <f t="shared" si="2"/>
        <v>20664</v>
      </c>
      <c r="BD174" s="44">
        <f t="shared" si="3"/>
        <v>20397</v>
      </c>
      <c r="BE174" s="44">
        <f t="shared" si="4"/>
        <v>109051</v>
      </c>
      <c r="BF174" s="45">
        <v>109750</v>
      </c>
      <c r="BG174" s="33" t="s">
        <v>172</v>
      </c>
      <c r="BH174" s="33">
        <f t="shared" si="5"/>
        <v>2760</v>
      </c>
      <c r="BK174" s="46">
        <v>106990</v>
      </c>
      <c r="BL174" s="46">
        <v>109750</v>
      </c>
      <c r="BM174" s="46">
        <v>112510</v>
      </c>
      <c r="BO174" s="33">
        <v>61</v>
      </c>
      <c r="BP174" s="43">
        <v>67990</v>
      </c>
      <c r="BQ174" s="43">
        <v>69750</v>
      </c>
      <c r="BR174" s="43">
        <v>71510</v>
      </c>
      <c r="BS174" s="45">
        <v>109750</v>
      </c>
      <c r="BT174" s="33">
        <v>61</v>
      </c>
      <c r="BW174" s="33">
        <v>61</v>
      </c>
      <c r="BX174" s="45">
        <v>99310</v>
      </c>
      <c r="BY174" s="45">
        <v>101870</v>
      </c>
      <c r="BZ174" s="45">
        <v>104430</v>
      </c>
      <c r="CA174" s="33">
        <v>61</v>
      </c>
      <c r="CG174" s="45">
        <v>99310</v>
      </c>
      <c r="CH174" s="33">
        <v>61</v>
      </c>
      <c r="CJ174" s="71" t="s">
        <v>288</v>
      </c>
      <c r="CK174" s="52" t="s">
        <v>383</v>
      </c>
    </row>
    <row r="175" spans="37:89" ht="22.5" hidden="1" customHeight="1">
      <c r="AK175" s="75">
        <v>2020</v>
      </c>
      <c r="AM175" s="33" t="s">
        <v>415</v>
      </c>
      <c r="AN175" s="59">
        <v>44378</v>
      </c>
      <c r="AV175" s="71" t="s">
        <v>270</v>
      </c>
      <c r="AW175" s="67"/>
      <c r="AX175" s="33">
        <v>9</v>
      </c>
      <c r="AY175" s="33">
        <v>24280</v>
      </c>
      <c r="BA175" s="43">
        <v>69750</v>
      </c>
      <c r="BB175" s="43">
        <v>96890</v>
      </c>
      <c r="BC175" s="33">
        <f t="shared" si="2"/>
        <v>21198</v>
      </c>
      <c r="BD175" s="44">
        <f t="shared" si="3"/>
        <v>20925</v>
      </c>
      <c r="BE175" s="44">
        <f t="shared" si="4"/>
        <v>111873</v>
      </c>
      <c r="BF175" s="45">
        <v>112510</v>
      </c>
      <c r="BG175" s="33" t="s">
        <v>172</v>
      </c>
      <c r="BH175" s="33">
        <f t="shared" si="5"/>
        <v>2760</v>
      </c>
      <c r="BK175" s="46">
        <v>109750</v>
      </c>
      <c r="BL175" s="46">
        <v>112510</v>
      </c>
      <c r="BM175" s="46">
        <v>115270</v>
      </c>
      <c r="BO175" s="33">
        <v>62</v>
      </c>
      <c r="BP175" s="43">
        <v>69750</v>
      </c>
      <c r="BQ175" s="43">
        <v>71510</v>
      </c>
      <c r="BR175" s="43">
        <v>73270</v>
      </c>
      <c r="BS175" s="45">
        <v>112510</v>
      </c>
      <c r="BT175" s="33">
        <v>62</v>
      </c>
      <c r="BW175" s="33">
        <v>62</v>
      </c>
      <c r="BX175" s="45">
        <v>101870</v>
      </c>
      <c r="BY175" s="45">
        <v>104430</v>
      </c>
      <c r="BZ175" s="45">
        <v>106990</v>
      </c>
      <c r="CA175" s="33">
        <v>62</v>
      </c>
      <c r="CG175" s="45">
        <v>101870</v>
      </c>
      <c r="CH175" s="33">
        <v>62</v>
      </c>
      <c r="CJ175" s="71" t="s">
        <v>289</v>
      </c>
      <c r="CK175" s="52" t="s">
        <v>385</v>
      </c>
    </row>
    <row r="176" spans="37:89" ht="22.5" hidden="1" customHeight="1">
      <c r="AK176" s="75">
        <v>2021</v>
      </c>
      <c r="AM176" s="33" t="s">
        <v>416</v>
      </c>
      <c r="AN176" s="59">
        <v>44409</v>
      </c>
      <c r="AV176" s="71" t="s">
        <v>271</v>
      </c>
      <c r="AW176" s="67"/>
      <c r="AX176" s="33">
        <v>12</v>
      </c>
      <c r="AY176" s="33">
        <v>26410</v>
      </c>
      <c r="BA176" s="43">
        <v>71510</v>
      </c>
      <c r="BB176" s="43">
        <v>99310</v>
      </c>
      <c r="BC176" s="33">
        <f t="shared" si="2"/>
        <v>21733</v>
      </c>
      <c r="BD176" s="44">
        <f t="shared" si="3"/>
        <v>21453</v>
      </c>
      <c r="BE176" s="44">
        <f t="shared" si="4"/>
        <v>114696</v>
      </c>
      <c r="BF176" s="45">
        <v>115270</v>
      </c>
      <c r="BG176" s="33" t="s">
        <v>172</v>
      </c>
      <c r="BH176" s="33">
        <f t="shared" si="5"/>
        <v>2760</v>
      </c>
      <c r="BK176" s="46">
        <v>112510</v>
      </c>
      <c r="BL176" s="46">
        <v>115270</v>
      </c>
      <c r="BM176" s="46">
        <v>118230</v>
      </c>
      <c r="BO176" s="33">
        <v>63</v>
      </c>
      <c r="BP176" s="43">
        <v>71510</v>
      </c>
      <c r="BQ176" s="43">
        <v>73270</v>
      </c>
      <c r="BR176" s="43">
        <v>75150</v>
      </c>
      <c r="BS176" s="45">
        <v>115270</v>
      </c>
      <c r="BT176" s="33">
        <v>63</v>
      </c>
      <c r="BW176" s="33">
        <v>63</v>
      </c>
      <c r="BX176" s="45">
        <v>104430</v>
      </c>
      <c r="BY176" s="45">
        <v>106990</v>
      </c>
      <c r="BZ176" s="45">
        <v>109750</v>
      </c>
      <c r="CA176" s="33">
        <v>63</v>
      </c>
      <c r="CG176" s="45">
        <v>104430</v>
      </c>
      <c r="CH176" s="33">
        <v>63</v>
      </c>
      <c r="CJ176" s="71" t="s">
        <v>290</v>
      </c>
      <c r="CK176" s="52" t="s">
        <v>387</v>
      </c>
    </row>
    <row r="177" spans="37:89" ht="22.5" hidden="1" customHeight="1">
      <c r="AK177" s="75">
        <v>2022</v>
      </c>
      <c r="AM177" s="33" t="s">
        <v>417</v>
      </c>
      <c r="AN177" s="59">
        <v>44440</v>
      </c>
      <c r="AV177" s="71" t="s">
        <v>272</v>
      </c>
      <c r="AW177" s="67"/>
      <c r="AX177" s="33">
        <v>13</v>
      </c>
      <c r="AY177" s="33">
        <v>27130</v>
      </c>
      <c r="BA177" s="43">
        <v>73270</v>
      </c>
      <c r="BB177" s="43">
        <v>101870</v>
      </c>
      <c r="BC177" s="33">
        <f t="shared" si="2"/>
        <v>22268</v>
      </c>
      <c r="BD177" s="44">
        <f t="shared" si="3"/>
        <v>21981</v>
      </c>
      <c r="BE177" s="44">
        <f t="shared" si="4"/>
        <v>117519</v>
      </c>
      <c r="BF177" s="45">
        <v>118230</v>
      </c>
      <c r="BG177" s="33" t="s">
        <v>172</v>
      </c>
      <c r="BH177" s="33">
        <f t="shared" si="5"/>
        <v>2960</v>
      </c>
      <c r="BK177" s="46">
        <v>115270</v>
      </c>
      <c r="BL177" s="46">
        <v>118230</v>
      </c>
      <c r="BM177" s="46">
        <v>121190</v>
      </c>
      <c r="BO177" s="33">
        <v>64</v>
      </c>
      <c r="BP177" s="43">
        <v>73270</v>
      </c>
      <c r="BQ177" s="43">
        <v>75150</v>
      </c>
      <c r="BR177" s="43">
        <v>77030</v>
      </c>
      <c r="BS177" s="45">
        <v>118230</v>
      </c>
      <c r="BT177" s="33">
        <v>64</v>
      </c>
      <c r="BW177" s="33">
        <v>64</v>
      </c>
      <c r="BX177" s="45">
        <v>106990</v>
      </c>
      <c r="BY177" s="45">
        <v>109750</v>
      </c>
      <c r="BZ177" s="45">
        <v>112510</v>
      </c>
      <c r="CA177" s="33">
        <v>64</v>
      </c>
      <c r="CG177" s="45">
        <v>106990</v>
      </c>
      <c r="CH177" s="33">
        <v>64</v>
      </c>
      <c r="CJ177" s="71" t="s">
        <v>291</v>
      </c>
      <c r="CK177" s="52" t="s">
        <v>389</v>
      </c>
    </row>
    <row r="178" spans="37:89" ht="22.5" hidden="1" customHeight="1">
      <c r="AM178" s="33" t="s">
        <v>418</v>
      </c>
      <c r="AN178" s="59">
        <v>44470</v>
      </c>
      <c r="AV178" s="71" t="s">
        <v>273</v>
      </c>
      <c r="AW178" s="67"/>
      <c r="AX178" s="33">
        <v>15</v>
      </c>
      <c r="AY178" s="33">
        <v>28630</v>
      </c>
      <c r="BA178" s="43">
        <v>75150</v>
      </c>
      <c r="BB178" s="43">
        <v>104430</v>
      </c>
      <c r="BC178" s="33">
        <f t="shared" si="2"/>
        <v>22840</v>
      </c>
      <c r="BD178" s="44">
        <f t="shared" si="3"/>
        <v>22545</v>
      </c>
      <c r="BE178" s="44">
        <f t="shared" si="4"/>
        <v>120535</v>
      </c>
      <c r="BF178" s="45">
        <v>121190</v>
      </c>
      <c r="BG178" s="33" t="s">
        <v>172</v>
      </c>
      <c r="BH178" s="33">
        <f t="shared" si="5"/>
        <v>2960</v>
      </c>
      <c r="BK178" s="46">
        <v>118230</v>
      </c>
      <c r="BL178" s="46">
        <v>121190</v>
      </c>
      <c r="BM178" s="46">
        <v>124150</v>
      </c>
      <c r="BO178" s="33">
        <v>65</v>
      </c>
      <c r="BP178" s="43">
        <v>75150</v>
      </c>
      <c r="BQ178" s="43">
        <v>77030</v>
      </c>
      <c r="BR178" s="43">
        <v>78910</v>
      </c>
      <c r="BS178" s="45">
        <v>121190</v>
      </c>
      <c r="BT178" s="33">
        <v>65</v>
      </c>
      <c r="BW178" s="33">
        <v>65</v>
      </c>
      <c r="BX178" s="45">
        <v>109750</v>
      </c>
      <c r="BY178" s="45">
        <v>112510</v>
      </c>
      <c r="BZ178" s="45">
        <v>115270</v>
      </c>
      <c r="CA178" s="33">
        <v>65</v>
      </c>
      <c r="CG178" s="45">
        <v>109750</v>
      </c>
      <c r="CH178" s="33">
        <v>65</v>
      </c>
      <c r="CJ178" s="71" t="s">
        <v>292</v>
      </c>
      <c r="CK178" s="52" t="s">
        <v>391</v>
      </c>
    </row>
    <row r="179" spans="37:89" ht="22.5" hidden="1" customHeight="1">
      <c r="AM179" s="33" t="s">
        <v>419</v>
      </c>
      <c r="AN179" s="59">
        <v>44501</v>
      </c>
      <c r="AV179" s="71" t="s">
        <v>274</v>
      </c>
      <c r="AW179" s="67"/>
      <c r="AX179" s="33">
        <v>18</v>
      </c>
      <c r="AY179" s="33">
        <v>31040</v>
      </c>
      <c r="BA179" s="43">
        <v>77030</v>
      </c>
      <c r="BB179" s="43">
        <v>106990</v>
      </c>
      <c r="BC179" s="33">
        <f t="shared" ref="BC179:BC194" si="7">ROUND(BA179*BC$113%,0.1)</f>
        <v>23411</v>
      </c>
      <c r="BD179" s="44">
        <f t="shared" ref="BD179:BD194" si="8">BA179*BD$113%</f>
        <v>23109</v>
      </c>
      <c r="BE179" s="44">
        <f t="shared" ref="BE179:BE194" si="9">SUM(BA179,BC179:BD179)</f>
        <v>123550</v>
      </c>
      <c r="BF179" s="45">
        <v>124150</v>
      </c>
      <c r="BG179" s="33" t="s">
        <v>172</v>
      </c>
      <c r="BH179" s="33">
        <f t="shared" si="5"/>
        <v>2960</v>
      </c>
      <c r="BK179" s="46">
        <v>121190</v>
      </c>
      <c r="BL179" s="46">
        <v>124150</v>
      </c>
      <c r="BM179" s="46">
        <v>127310</v>
      </c>
      <c r="BO179" s="33">
        <v>66</v>
      </c>
      <c r="BP179" s="43">
        <v>77030</v>
      </c>
      <c r="BQ179" s="43">
        <v>78910</v>
      </c>
      <c r="BR179" s="43">
        <v>80930</v>
      </c>
      <c r="BS179" s="45">
        <v>124150</v>
      </c>
      <c r="BT179" s="33">
        <v>66</v>
      </c>
      <c r="BW179" s="33">
        <v>66</v>
      </c>
      <c r="BX179" s="45">
        <v>112510</v>
      </c>
      <c r="BY179" s="45">
        <v>115270</v>
      </c>
      <c r="BZ179" s="45">
        <v>118230</v>
      </c>
      <c r="CA179" s="33">
        <v>66</v>
      </c>
      <c r="CG179" s="45">
        <v>112510</v>
      </c>
      <c r="CH179" s="33">
        <v>66</v>
      </c>
      <c r="CJ179" s="71" t="s">
        <v>293</v>
      </c>
      <c r="CK179" s="52" t="s">
        <v>393</v>
      </c>
    </row>
    <row r="180" spans="37:89" ht="22.5" hidden="1" customHeight="1">
      <c r="AM180" s="33" t="s">
        <v>420</v>
      </c>
      <c r="AN180" s="59">
        <v>44531</v>
      </c>
      <c r="AV180" s="71" t="s">
        <v>275</v>
      </c>
      <c r="AW180" s="67"/>
      <c r="AX180" s="33">
        <v>20</v>
      </c>
      <c r="AY180" s="33">
        <v>32810</v>
      </c>
      <c r="BA180" s="43">
        <v>78910</v>
      </c>
      <c r="BB180" s="43">
        <v>109750</v>
      </c>
      <c r="BC180" s="33">
        <f t="shared" si="7"/>
        <v>23982</v>
      </c>
      <c r="BD180" s="44">
        <f t="shared" si="8"/>
        <v>23673</v>
      </c>
      <c r="BE180" s="44">
        <f t="shared" si="9"/>
        <v>126565</v>
      </c>
      <c r="BF180" s="45">
        <v>127310</v>
      </c>
      <c r="BG180" s="33" t="s">
        <v>172</v>
      </c>
      <c r="BH180" s="33">
        <f t="shared" ref="BH180:BH194" si="10">BF180-BF179</f>
        <v>3160</v>
      </c>
      <c r="BK180" s="46">
        <v>124150</v>
      </c>
      <c r="BL180" s="46">
        <v>127310</v>
      </c>
      <c r="BM180" s="46">
        <v>130470</v>
      </c>
      <c r="BO180" s="33">
        <v>67</v>
      </c>
      <c r="BP180" s="43">
        <v>78910</v>
      </c>
      <c r="BQ180" s="43">
        <v>80930</v>
      </c>
      <c r="BR180" s="43">
        <v>82950</v>
      </c>
      <c r="BS180" s="45">
        <v>127310</v>
      </c>
      <c r="BT180" s="33">
        <v>67</v>
      </c>
      <c r="BW180" s="33">
        <v>67</v>
      </c>
      <c r="BX180" s="45">
        <v>115270</v>
      </c>
      <c r="BY180" s="45">
        <v>118230</v>
      </c>
      <c r="BZ180" s="45">
        <v>121190</v>
      </c>
      <c r="CA180" s="33">
        <v>67</v>
      </c>
      <c r="CG180" s="45">
        <v>115270</v>
      </c>
      <c r="CH180" s="33">
        <v>67</v>
      </c>
      <c r="CJ180" s="71" t="s">
        <v>294</v>
      </c>
      <c r="CK180" s="52" t="s">
        <v>395</v>
      </c>
    </row>
    <row r="181" spans="37:89" ht="22.5" hidden="1" customHeight="1" thickBot="1">
      <c r="AV181" s="71" t="s">
        <v>276</v>
      </c>
      <c r="AW181" s="67"/>
      <c r="AX181" s="33">
        <v>21</v>
      </c>
      <c r="AY181" s="33">
        <v>33750</v>
      </c>
      <c r="BA181" s="43">
        <v>80930</v>
      </c>
      <c r="BB181" s="43">
        <v>112510</v>
      </c>
      <c r="BC181" s="33">
        <f t="shared" si="7"/>
        <v>24596</v>
      </c>
      <c r="BD181" s="44">
        <f t="shared" si="8"/>
        <v>24279</v>
      </c>
      <c r="BE181" s="44">
        <f t="shared" si="9"/>
        <v>129805</v>
      </c>
      <c r="BF181" s="45">
        <v>130470</v>
      </c>
      <c r="BG181" s="33" t="s">
        <v>172</v>
      </c>
      <c r="BH181" s="33">
        <f t="shared" si="10"/>
        <v>3160</v>
      </c>
      <c r="BK181" s="46">
        <v>127310</v>
      </c>
      <c r="BL181" s="46">
        <v>130470</v>
      </c>
      <c r="BM181" s="46">
        <v>133630</v>
      </c>
      <c r="BO181" s="33">
        <v>68</v>
      </c>
      <c r="BP181" s="43">
        <v>80930</v>
      </c>
      <c r="BQ181" s="43">
        <v>82950</v>
      </c>
      <c r="BR181" s="43">
        <v>84970</v>
      </c>
      <c r="BS181" s="45">
        <v>130470</v>
      </c>
      <c r="BT181" s="33">
        <v>68</v>
      </c>
      <c r="BW181" s="33">
        <v>68</v>
      </c>
      <c r="BX181" s="45">
        <v>118230</v>
      </c>
      <c r="BY181" s="45">
        <v>121190</v>
      </c>
      <c r="BZ181" s="45">
        <v>124150</v>
      </c>
      <c r="CA181" s="33">
        <v>68</v>
      </c>
      <c r="CG181" s="45">
        <v>118230</v>
      </c>
      <c r="CH181" s="33">
        <v>68</v>
      </c>
      <c r="CJ181" s="76" t="s">
        <v>295</v>
      </c>
      <c r="CK181" s="52" t="s">
        <v>397</v>
      </c>
    </row>
    <row r="182" spans="37:89" ht="22.5" hidden="1" customHeight="1">
      <c r="AV182" s="71" t="s">
        <v>277</v>
      </c>
      <c r="AW182" s="67"/>
      <c r="AX182" s="33">
        <v>23</v>
      </c>
      <c r="AY182" s="33">
        <v>35720</v>
      </c>
      <c r="BA182" s="43">
        <v>82950</v>
      </c>
      <c r="BB182" s="43">
        <v>115270</v>
      </c>
      <c r="BC182" s="33">
        <f t="shared" si="7"/>
        <v>25210</v>
      </c>
      <c r="BD182" s="44">
        <f t="shared" si="8"/>
        <v>24885</v>
      </c>
      <c r="BE182" s="44">
        <f t="shared" si="9"/>
        <v>133045</v>
      </c>
      <c r="BF182" s="45">
        <v>133630</v>
      </c>
      <c r="BG182" s="33" t="s">
        <v>172</v>
      </c>
      <c r="BH182" s="33">
        <f t="shared" si="10"/>
        <v>3160</v>
      </c>
      <c r="BK182" s="46">
        <v>130470</v>
      </c>
      <c r="BL182" s="46">
        <v>133630</v>
      </c>
      <c r="BM182" s="46">
        <v>137050</v>
      </c>
      <c r="BO182" s="33">
        <v>69</v>
      </c>
      <c r="BP182" s="43">
        <v>82950</v>
      </c>
      <c r="BQ182" s="43">
        <v>84970</v>
      </c>
      <c r="BR182" s="43">
        <v>87130</v>
      </c>
      <c r="BS182" s="45">
        <v>133630</v>
      </c>
      <c r="BT182" s="33">
        <v>69</v>
      </c>
      <c r="BW182" s="33">
        <v>69</v>
      </c>
      <c r="BX182" s="45">
        <v>121190</v>
      </c>
      <c r="BY182" s="45">
        <v>124150</v>
      </c>
      <c r="BZ182" s="45">
        <v>127310</v>
      </c>
      <c r="CA182" s="33">
        <v>69</v>
      </c>
      <c r="CG182" s="45">
        <v>121190</v>
      </c>
      <c r="CH182" s="33">
        <v>69</v>
      </c>
    </row>
    <row r="183" spans="37:89" ht="22.5" hidden="1" customHeight="1">
      <c r="AV183" s="73" t="s">
        <v>278</v>
      </c>
      <c r="AW183" s="67"/>
      <c r="AX183" s="33">
        <v>24</v>
      </c>
      <c r="AY183" s="33">
        <v>36750</v>
      </c>
      <c r="BA183" s="43">
        <v>84970</v>
      </c>
      <c r="BB183" s="43">
        <v>118230</v>
      </c>
      <c r="BC183" s="33">
        <f t="shared" si="7"/>
        <v>25824</v>
      </c>
      <c r="BD183" s="44">
        <f t="shared" si="8"/>
        <v>25491</v>
      </c>
      <c r="BE183" s="44">
        <f t="shared" si="9"/>
        <v>136285</v>
      </c>
      <c r="BF183" s="45">
        <v>137050</v>
      </c>
      <c r="BG183" s="33" t="s">
        <v>172</v>
      </c>
      <c r="BH183" s="33">
        <f t="shared" si="10"/>
        <v>3420</v>
      </c>
      <c r="BK183" s="46">
        <v>133630</v>
      </c>
      <c r="BL183" s="46">
        <v>137050</v>
      </c>
      <c r="BM183" s="46">
        <v>140470</v>
      </c>
      <c r="BO183" s="33">
        <v>70</v>
      </c>
      <c r="BP183" s="43">
        <v>84970</v>
      </c>
      <c r="BQ183" s="43">
        <v>87130</v>
      </c>
      <c r="BR183" s="43">
        <v>89290</v>
      </c>
      <c r="BS183" s="45">
        <v>137050</v>
      </c>
      <c r="BT183" s="33">
        <v>70</v>
      </c>
      <c r="BW183" s="33">
        <v>70</v>
      </c>
      <c r="BX183" s="45">
        <v>124150</v>
      </c>
      <c r="BY183" s="45">
        <v>127310</v>
      </c>
      <c r="BZ183" s="45">
        <v>130470</v>
      </c>
      <c r="CA183" s="33">
        <v>70</v>
      </c>
      <c r="CG183" s="45">
        <v>124150</v>
      </c>
      <c r="CH183" s="33">
        <v>70</v>
      </c>
    </row>
    <row r="184" spans="37:89" ht="22.5" hidden="1" customHeight="1">
      <c r="AV184" s="73" t="s">
        <v>279</v>
      </c>
      <c r="AW184" s="67"/>
      <c r="AX184" s="33">
        <v>26</v>
      </c>
      <c r="AY184" s="33">
        <v>38890</v>
      </c>
      <c r="BA184" s="43">
        <v>87130</v>
      </c>
      <c r="BB184" s="43">
        <v>121190</v>
      </c>
      <c r="BC184" s="33">
        <f t="shared" si="7"/>
        <v>26481</v>
      </c>
      <c r="BD184" s="44">
        <f t="shared" si="8"/>
        <v>26139</v>
      </c>
      <c r="BE184" s="44">
        <f t="shared" si="9"/>
        <v>139750</v>
      </c>
      <c r="BF184" s="45">
        <v>140470</v>
      </c>
      <c r="BG184" s="33" t="s">
        <v>172</v>
      </c>
      <c r="BH184" s="33">
        <f t="shared" si="10"/>
        <v>3420</v>
      </c>
      <c r="BK184" s="46">
        <v>137050</v>
      </c>
      <c r="BL184" s="46">
        <v>140470</v>
      </c>
      <c r="BM184" s="46">
        <v>143890</v>
      </c>
      <c r="BO184" s="33">
        <v>71</v>
      </c>
      <c r="BP184" s="43">
        <v>87130</v>
      </c>
      <c r="BQ184" s="43">
        <v>89290</v>
      </c>
      <c r="BR184" s="43">
        <v>91450</v>
      </c>
      <c r="BS184" s="45">
        <v>140470</v>
      </c>
      <c r="BT184" s="33">
        <v>71</v>
      </c>
      <c r="BW184" s="33">
        <v>71</v>
      </c>
      <c r="BX184" s="45">
        <v>127310</v>
      </c>
      <c r="BY184" s="45">
        <v>130470</v>
      </c>
      <c r="BZ184" s="45">
        <v>133630</v>
      </c>
      <c r="CA184" s="33">
        <v>71</v>
      </c>
      <c r="CG184" s="45">
        <v>127310</v>
      </c>
      <c r="CH184" s="33">
        <v>71</v>
      </c>
    </row>
    <row r="185" spans="37:89" ht="22.5" hidden="1" customHeight="1">
      <c r="AV185" s="73" t="s">
        <v>280</v>
      </c>
      <c r="AW185" s="67"/>
      <c r="AX185" s="33">
        <v>29</v>
      </c>
      <c r="AY185" s="33">
        <v>42300</v>
      </c>
      <c r="BA185" s="43">
        <v>89290</v>
      </c>
      <c r="BB185" s="43">
        <v>124150</v>
      </c>
      <c r="BC185" s="33">
        <f t="shared" si="7"/>
        <v>27137</v>
      </c>
      <c r="BD185" s="44">
        <f t="shared" si="8"/>
        <v>26787</v>
      </c>
      <c r="BE185" s="44">
        <f t="shared" si="9"/>
        <v>143214</v>
      </c>
      <c r="BF185" s="45">
        <v>143890</v>
      </c>
      <c r="BG185" s="33" t="s">
        <v>172</v>
      </c>
      <c r="BH185" s="33">
        <f t="shared" si="10"/>
        <v>3420</v>
      </c>
      <c r="BK185" s="46">
        <v>140470</v>
      </c>
      <c r="BL185" s="46">
        <v>143890</v>
      </c>
      <c r="BM185" s="46">
        <v>147310</v>
      </c>
      <c r="BO185" s="33">
        <v>72</v>
      </c>
      <c r="BP185" s="43">
        <v>89290</v>
      </c>
      <c r="BQ185" s="43">
        <v>91450</v>
      </c>
      <c r="BR185" s="43">
        <v>93780</v>
      </c>
      <c r="BS185" s="45">
        <v>143890</v>
      </c>
      <c r="BT185" s="33">
        <v>72</v>
      </c>
      <c r="BW185" s="33">
        <v>72</v>
      </c>
      <c r="BX185" s="45">
        <v>130470</v>
      </c>
      <c r="BY185" s="45">
        <v>133630</v>
      </c>
      <c r="BZ185" s="45">
        <v>137050</v>
      </c>
      <c r="CA185" s="33">
        <v>72</v>
      </c>
      <c r="CG185" s="45">
        <v>130470</v>
      </c>
      <c r="CH185" s="33">
        <v>72</v>
      </c>
    </row>
    <row r="186" spans="37:89" ht="22.5" hidden="1" customHeight="1">
      <c r="AV186" s="73" t="s">
        <v>281</v>
      </c>
      <c r="AW186" s="67"/>
      <c r="AX186" s="33">
        <v>30</v>
      </c>
      <c r="AY186" s="33">
        <v>43490</v>
      </c>
      <c r="BA186" s="43">
        <v>91450</v>
      </c>
      <c r="BB186" s="43">
        <v>127310</v>
      </c>
      <c r="BC186" s="33">
        <f t="shared" si="7"/>
        <v>27793</v>
      </c>
      <c r="BD186" s="44">
        <f t="shared" si="8"/>
        <v>27435</v>
      </c>
      <c r="BE186" s="44">
        <f t="shared" si="9"/>
        <v>146678</v>
      </c>
      <c r="BF186" s="45">
        <v>147310</v>
      </c>
      <c r="BG186" s="33" t="s">
        <v>172</v>
      </c>
      <c r="BH186" s="33">
        <f t="shared" si="10"/>
        <v>3420</v>
      </c>
      <c r="BK186" s="46">
        <v>143890</v>
      </c>
      <c r="BL186" s="46">
        <v>147310</v>
      </c>
      <c r="BM186" s="46">
        <v>151000</v>
      </c>
      <c r="BO186" s="33">
        <v>73</v>
      </c>
      <c r="BP186" s="43">
        <v>91450</v>
      </c>
      <c r="BQ186" s="43">
        <v>93780</v>
      </c>
      <c r="BR186" s="43">
        <v>96110</v>
      </c>
      <c r="BS186" s="45">
        <v>147310</v>
      </c>
      <c r="BT186" s="33">
        <v>73</v>
      </c>
      <c r="BW186" s="33">
        <v>73</v>
      </c>
      <c r="BX186" s="45">
        <v>133630</v>
      </c>
      <c r="BY186" s="45">
        <v>137050</v>
      </c>
      <c r="BZ186" s="45">
        <v>140470</v>
      </c>
      <c r="CA186" s="33">
        <v>73</v>
      </c>
      <c r="CG186" s="45">
        <v>133630</v>
      </c>
      <c r="CH186" s="33">
        <v>73</v>
      </c>
    </row>
    <row r="187" spans="37:89" ht="22.5" hidden="1" customHeight="1">
      <c r="AV187" s="73" t="s">
        <v>282</v>
      </c>
      <c r="AW187" s="67"/>
      <c r="AX187" s="33">
        <v>32</v>
      </c>
      <c r="AY187" s="33">
        <v>45960</v>
      </c>
      <c r="BA187" s="43">
        <v>93780</v>
      </c>
      <c r="BB187" s="43">
        <v>130470</v>
      </c>
      <c r="BC187" s="33">
        <f t="shared" si="7"/>
        <v>28502</v>
      </c>
      <c r="BD187" s="44">
        <f t="shared" si="8"/>
        <v>28134</v>
      </c>
      <c r="BE187" s="44">
        <f t="shared" si="9"/>
        <v>150416</v>
      </c>
      <c r="BF187" s="45">
        <v>151000</v>
      </c>
      <c r="BG187" s="33" t="s">
        <v>172</v>
      </c>
      <c r="BH187" s="33">
        <f t="shared" si="10"/>
        <v>3690</v>
      </c>
      <c r="BK187" s="46">
        <v>147310</v>
      </c>
      <c r="BL187" s="46">
        <v>151000</v>
      </c>
      <c r="BM187" s="46">
        <v>154690</v>
      </c>
      <c r="BO187" s="33">
        <v>74</v>
      </c>
      <c r="BP187" s="43">
        <v>93780</v>
      </c>
      <c r="BQ187" s="43">
        <v>96110</v>
      </c>
      <c r="BR187" s="43">
        <v>98440</v>
      </c>
      <c r="BS187" s="45">
        <v>151000</v>
      </c>
      <c r="BT187" s="33">
        <v>74</v>
      </c>
      <c r="BW187" s="33">
        <v>74</v>
      </c>
      <c r="BX187" s="45">
        <v>137050</v>
      </c>
      <c r="BY187" s="45">
        <v>140470</v>
      </c>
      <c r="BZ187" s="45">
        <v>143890</v>
      </c>
      <c r="CA187" s="33">
        <v>74</v>
      </c>
      <c r="CG187" s="45">
        <v>137050</v>
      </c>
      <c r="CH187" s="33">
        <v>74</v>
      </c>
    </row>
    <row r="188" spans="37:89" ht="22.5" hidden="1" customHeight="1">
      <c r="AV188" s="73" t="s">
        <v>283</v>
      </c>
      <c r="AW188" s="67"/>
      <c r="AX188" s="33">
        <v>36</v>
      </c>
      <c r="AY188" s="33">
        <v>51320</v>
      </c>
      <c r="BA188" s="43">
        <v>96110</v>
      </c>
      <c r="BB188" s="43">
        <v>133630</v>
      </c>
      <c r="BC188" s="33">
        <f t="shared" si="7"/>
        <v>29210</v>
      </c>
      <c r="BD188" s="44">
        <f t="shared" si="8"/>
        <v>28833</v>
      </c>
      <c r="BE188" s="44">
        <f t="shared" si="9"/>
        <v>154153</v>
      </c>
      <c r="BF188" s="45">
        <v>154690</v>
      </c>
      <c r="BG188" s="33" t="s">
        <v>172</v>
      </c>
      <c r="BH188" s="33">
        <f t="shared" si="10"/>
        <v>3690</v>
      </c>
      <c r="BK188" s="46">
        <v>151000</v>
      </c>
      <c r="BL188" s="46">
        <v>154690</v>
      </c>
      <c r="BM188" s="77">
        <v>158380</v>
      </c>
      <c r="BO188" s="33">
        <v>75</v>
      </c>
      <c r="BP188" s="43">
        <v>96110</v>
      </c>
      <c r="BQ188" s="43">
        <v>98440</v>
      </c>
      <c r="BR188" s="43">
        <v>100770</v>
      </c>
      <c r="BS188" s="45">
        <v>154690</v>
      </c>
      <c r="BT188" s="33">
        <v>75</v>
      </c>
      <c r="BW188" s="33">
        <v>75</v>
      </c>
      <c r="BX188" s="45">
        <v>140470</v>
      </c>
      <c r="BY188" s="45">
        <v>143890</v>
      </c>
      <c r="BZ188" s="45">
        <v>147310</v>
      </c>
      <c r="CA188" s="33">
        <v>75</v>
      </c>
      <c r="CG188" s="45">
        <v>140470</v>
      </c>
      <c r="CH188" s="33">
        <v>75</v>
      </c>
    </row>
    <row r="189" spans="37:89" ht="22.5" hidden="1" customHeight="1">
      <c r="AV189" s="73" t="s">
        <v>284</v>
      </c>
      <c r="AW189" s="67"/>
      <c r="AX189" s="33">
        <v>38</v>
      </c>
      <c r="AY189" s="33">
        <v>54220</v>
      </c>
      <c r="BA189" s="43">
        <v>98440</v>
      </c>
      <c r="BB189" s="43">
        <v>137050</v>
      </c>
      <c r="BC189" s="33">
        <f t="shared" si="7"/>
        <v>29918</v>
      </c>
      <c r="BD189" s="44">
        <f t="shared" si="8"/>
        <v>29532</v>
      </c>
      <c r="BE189" s="44">
        <f t="shared" si="9"/>
        <v>157890</v>
      </c>
      <c r="BF189" s="45">
        <v>158380</v>
      </c>
      <c r="BG189" s="33" t="s">
        <v>172</v>
      </c>
      <c r="BH189" s="33">
        <f t="shared" si="10"/>
        <v>3690</v>
      </c>
      <c r="BK189" s="46">
        <v>154690</v>
      </c>
      <c r="BL189" s="77">
        <v>158380</v>
      </c>
      <c r="BM189" s="77">
        <v>162070</v>
      </c>
      <c r="BO189" s="33">
        <v>76</v>
      </c>
      <c r="BP189" s="43">
        <v>98440</v>
      </c>
      <c r="BQ189" s="43">
        <v>100770</v>
      </c>
      <c r="BR189" s="43">
        <v>103290</v>
      </c>
      <c r="BS189" s="45">
        <v>158380</v>
      </c>
      <c r="BT189" s="33">
        <v>76</v>
      </c>
      <c r="BW189" s="33">
        <v>76</v>
      </c>
      <c r="BX189" s="45">
        <v>143890</v>
      </c>
      <c r="BY189" s="45">
        <v>147310</v>
      </c>
      <c r="BZ189" s="45">
        <v>151000</v>
      </c>
      <c r="CA189" s="33">
        <v>76</v>
      </c>
      <c r="CG189" s="45">
        <v>143890</v>
      </c>
      <c r="CH189" s="33">
        <v>76</v>
      </c>
    </row>
    <row r="190" spans="37:89" ht="22.5" hidden="1" customHeight="1">
      <c r="AV190" s="73" t="s">
        <v>285</v>
      </c>
      <c r="AW190" s="67"/>
      <c r="AX190" s="33">
        <v>41</v>
      </c>
      <c r="AY190" s="33">
        <v>58850</v>
      </c>
      <c r="BA190" s="43">
        <v>100770</v>
      </c>
      <c r="BB190" s="43">
        <v>140470</v>
      </c>
      <c r="BC190" s="33">
        <f t="shared" si="7"/>
        <v>30626</v>
      </c>
      <c r="BD190" s="44">
        <f t="shared" si="8"/>
        <v>30231</v>
      </c>
      <c r="BE190" s="44">
        <f t="shared" si="9"/>
        <v>161627</v>
      </c>
      <c r="BF190" s="45">
        <v>162070</v>
      </c>
      <c r="BG190" s="33" t="s">
        <v>172</v>
      </c>
      <c r="BH190" s="33">
        <f t="shared" si="10"/>
        <v>3690</v>
      </c>
      <c r="BK190" s="77">
        <v>158380</v>
      </c>
      <c r="BL190" s="77">
        <v>162070</v>
      </c>
      <c r="BO190" s="33">
        <v>77</v>
      </c>
      <c r="BP190" s="43">
        <v>100770</v>
      </c>
      <c r="BQ190" s="43">
        <v>103290</v>
      </c>
      <c r="BR190" s="43">
        <v>105810</v>
      </c>
      <c r="BS190" s="45">
        <v>162070</v>
      </c>
      <c r="BT190" s="33">
        <v>77</v>
      </c>
      <c r="BW190" s="33">
        <v>77</v>
      </c>
      <c r="BX190" s="45">
        <v>147310</v>
      </c>
      <c r="BY190" s="45">
        <v>151000</v>
      </c>
      <c r="BZ190" s="45">
        <v>154690</v>
      </c>
      <c r="CA190" s="33">
        <v>77</v>
      </c>
      <c r="CG190" s="45">
        <v>147310</v>
      </c>
      <c r="CH190" s="33">
        <v>77</v>
      </c>
    </row>
    <row r="191" spans="37:89" ht="22.5" hidden="1" customHeight="1">
      <c r="AV191" s="73" t="s">
        <v>286</v>
      </c>
      <c r="AW191" s="67"/>
      <c r="AX191" s="33">
        <v>43</v>
      </c>
      <c r="AY191" s="33">
        <v>62110</v>
      </c>
      <c r="BA191" s="43">
        <v>103290</v>
      </c>
      <c r="BB191" s="43">
        <v>143890</v>
      </c>
      <c r="BC191" s="33">
        <f t="shared" si="7"/>
        <v>31392</v>
      </c>
      <c r="BD191" s="44">
        <f t="shared" si="8"/>
        <v>30987</v>
      </c>
      <c r="BE191" s="44">
        <f t="shared" si="9"/>
        <v>165669</v>
      </c>
      <c r="BF191" s="45">
        <v>162070</v>
      </c>
      <c r="BH191" s="33">
        <f t="shared" si="10"/>
        <v>0</v>
      </c>
      <c r="BK191" s="77">
        <v>162070</v>
      </c>
      <c r="BO191" s="33">
        <v>78</v>
      </c>
      <c r="BP191" s="43">
        <v>103290</v>
      </c>
      <c r="BQ191" s="43">
        <v>105810</v>
      </c>
      <c r="BR191" s="43">
        <v>108330</v>
      </c>
      <c r="BS191" s="45">
        <v>162070</v>
      </c>
      <c r="BT191" s="33">
        <v>78</v>
      </c>
      <c r="BW191" s="33">
        <v>78</v>
      </c>
      <c r="BX191" s="45">
        <v>151000</v>
      </c>
      <c r="BY191" s="45">
        <v>154690</v>
      </c>
      <c r="BZ191" s="45">
        <v>158380</v>
      </c>
      <c r="CA191" s="33">
        <v>78</v>
      </c>
      <c r="CG191" s="45">
        <v>151000</v>
      </c>
      <c r="CH191" s="33">
        <v>78</v>
      </c>
    </row>
    <row r="192" spans="37:89" ht="22.5" hidden="1" customHeight="1">
      <c r="AV192" s="71" t="s">
        <v>287</v>
      </c>
      <c r="AW192" s="67"/>
      <c r="AX192" s="33">
        <v>46</v>
      </c>
      <c r="AY192" s="33">
        <v>67300</v>
      </c>
      <c r="BA192" s="43">
        <v>105810</v>
      </c>
      <c r="BB192" s="43">
        <v>147310</v>
      </c>
      <c r="BC192" s="33">
        <f t="shared" si="7"/>
        <v>32158</v>
      </c>
      <c r="BD192" s="44">
        <f t="shared" si="8"/>
        <v>31743</v>
      </c>
      <c r="BE192" s="44">
        <f t="shared" si="9"/>
        <v>169711</v>
      </c>
      <c r="BF192" s="45">
        <v>162070</v>
      </c>
      <c r="BH192" s="33">
        <f t="shared" si="10"/>
        <v>0</v>
      </c>
      <c r="BO192" s="33">
        <v>79</v>
      </c>
      <c r="BP192" s="43">
        <v>105810</v>
      </c>
      <c r="BQ192" s="43">
        <v>108330</v>
      </c>
      <c r="BR192" s="43">
        <v>110850</v>
      </c>
      <c r="BS192" s="45">
        <v>162070</v>
      </c>
      <c r="BT192" s="33">
        <v>79</v>
      </c>
      <c r="BW192" s="33">
        <v>79</v>
      </c>
      <c r="BX192" s="45">
        <v>154690</v>
      </c>
      <c r="BY192" s="45">
        <v>158380</v>
      </c>
      <c r="BZ192" s="45">
        <v>162070</v>
      </c>
      <c r="CA192" s="33">
        <v>79</v>
      </c>
      <c r="CG192" s="45">
        <v>154690</v>
      </c>
      <c r="CH192" s="33">
        <v>79</v>
      </c>
    </row>
    <row r="193" spans="32:86" ht="22.5" hidden="1" customHeight="1">
      <c r="AV193" s="71" t="s">
        <v>288</v>
      </c>
      <c r="AW193" s="67"/>
      <c r="AX193" s="33">
        <v>49</v>
      </c>
      <c r="AY193" s="33">
        <v>72850</v>
      </c>
      <c r="BA193" s="43">
        <v>108330</v>
      </c>
      <c r="BB193" s="43">
        <v>151000</v>
      </c>
      <c r="BC193" s="33">
        <f t="shared" si="7"/>
        <v>32924</v>
      </c>
      <c r="BD193" s="44">
        <f t="shared" si="8"/>
        <v>32499</v>
      </c>
      <c r="BE193" s="44">
        <f t="shared" si="9"/>
        <v>173753</v>
      </c>
      <c r="BF193" s="45">
        <v>162070</v>
      </c>
      <c r="BH193" s="33">
        <f t="shared" si="10"/>
        <v>0</v>
      </c>
      <c r="BO193" s="33">
        <v>80</v>
      </c>
      <c r="BP193" s="43">
        <v>108330</v>
      </c>
      <c r="BQ193" s="43">
        <v>110850</v>
      </c>
      <c r="BS193" s="45">
        <v>162070</v>
      </c>
      <c r="BT193" s="33">
        <v>80</v>
      </c>
      <c r="BW193" s="33">
        <v>80</v>
      </c>
      <c r="BX193" s="45">
        <v>158380</v>
      </c>
      <c r="BY193" s="45">
        <v>162070</v>
      </c>
      <c r="BZ193" s="67"/>
      <c r="CA193" s="33">
        <v>80</v>
      </c>
      <c r="CG193" s="45">
        <v>158380</v>
      </c>
      <c r="CH193" s="33">
        <v>80</v>
      </c>
    </row>
    <row r="194" spans="32:86" ht="22.5" hidden="1" customHeight="1" thickBot="1">
      <c r="AP194" s="33" t="str">
        <f>E20</f>
        <v>01.07.2018</v>
      </c>
      <c r="AV194" s="71" t="s">
        <v>289</v>
      </c>
      <c r="AW194" s="67"/>
      <c r="AX194" s="33">
        <v>51</v>
      </c>
      <c r="AY194" s="33">
        <v>76830</v>
      </c>
      <c r="BA194" s="43">
        <v>110850</v>
      </c>
      <c r="BB194" s="43">
        <v>154690</v>
      </c>
      <c r="BC194" s="33">
        <f t="shared" si="7"/>
        <v>33690</v>
      </c>
      <c r="BD194" s="44">
        <f t="shared" si="8"/>
        <v>33255</v>
      </c>
      <c r="BE194" s="44">
        <f t="shared" si="9"/>
        <v>177795</v>
      </c>
      <c r="BF194" s="45">
        <v>162070</v>
      </c>
      <c r="BH194" s="33">
        <f t="shared" si="10"/>
        <v>0</v>
      </c>
      <c r="BO194" s="33">
        <v>81</v>
      </c>
      <c r="BP194" s="43">
        <v>110850</v>
      </c>
      <c r="BS194" s="45">
        <v>162070</v>
      </c>
      <c r="BT194" s="33">
        <v>81</v>
      </c>
      <c r="BW194" s="33">
        <v>81</v>
      </c>
      <c r="BX194" s="78">
        <v>162070</v>
      </c>
      <c r="BY194" s="79"/>
      <c r="BZ194" s="72"/>
      <c r="CA194" s="33">
        <v>81</v>
      </c>
      <c r="CG194" s="45">
        <v>162070</v>
      </c>
      <c r="CH194" s="33">
        <v>81</v>
      </c>
    </row>
    <row r="195" spans="32:86" ht="22.5" hidden="1" customHeight="1">
      <c r="AP195" s="33" t="str">
        <f>P20</f>
        <v>Aug, 2018</v>
      </c>
      <c r="AV195" s="71" t="s">
        <v>290</v>
      </c>
      <c r="AW195" s="67"/>
      <c r="AX195" s="33">
        <v>54</v>
      </c>
      <c r="AY195" s="33">
        <v>83100</v>
      </c>
    </row>
    <row r="196" spans="32:86" ht="22.5" hidden="1" customHeight="1">
      <c r="AV196" s="71" t="s">
        <v>291</v>
      </c>
      <c r="AW196" s="67"/>
      <c r="AX196" s="33">
        <v>57</v>
      </c>
      <c r="AY196" s="33">
        <v>89780</v>
      </c>
    </row>
    <row r="197" spans="32:86" ht="22.5" hidden="1" customHeight="1">
      <c r="AV197" s="71" t="s">
        <v>292</v>
      </c>
      <c r="AW197" s="67"/>
      <c r="AX197" s="33">
        <v>60</v>
      </c>
      <c r="AY197" s="33">
        <v>96890</v>
      </c>
    </row>
    <row r="198" spans="32:86" ht="22.5" hidden="1" customHeight="1">
      <c r="AO198" s="278" t="str">
        <f>IF(AM199=1,"01.07.2018",IF(AND(AM199=3,AM204=1),"01.07.2018 with Increment",IF(AM199=2,"01.07.2018 with out Increment",AM200)))</f>
        <v>01.07.2018</v>
      </c>
      <c r="AP198" s="277" t="s">
        <v>452</v>
      </c>
      <c r="AV198" s="71" t="s">
        <v>293</v>
      </c>
      <c r="AW198" s="67"/>
      <c r="AX198" s="33">
        <v>64</v>
      </c>
      <c r="AY198" s="33">
        <v>106990</v>
      </c>
    </row>
    <row r="199" spans="32:86" ht="22.5" hidden="1" customHeight="1">
      <c r="AK199" s="33" t="str">
        <f>E20</f>
        <v>01.07.2018</v>
      </c>
      <c r="AM199" s="33">
        <f>VLOOKUP(AK199,AK119:AL122,2,0)</f>
        <v>1</v>
      </c>
      <c r="AP199" s="74" t="str">
        <f>IF(AM199=1,"01.07.2018",IF(AM199=2,"01.07.2018 without Increment",IF(AM199=3,"01.07.2018 with Increment",CONCATENATE("Next Increment Date ",AM200))))</f>
        <v>01.07.2018</v>
      </c>
      <c r="AV199" s="71" t="s">
        <v>294</v>
      </c>
      <c r="AW199" s="67"/>
      <c r="AX199" s="33">
        <v>68</v>
      </c>
      <c r="AY199" s="33">
        <v>118230</v>
      </c>
    </row>
    <row r="200" spans="32:86" ht="22.5" hidden="1" customHeight="1" thickBot="1">
      <c r="AK200" s="74" t="str">
        <f>IF(AM204=1,"01.07.2018",IF(AM204=2,"01.08.2018",IF(AM204=3,"01.09.2018",IF(AM204=4,"01.10.2018",IF(AM204=5,"01.11.2018",IF(AM204=6,"01.12.2018",0))))))</f>
        <v>01.07.2018</v>
      </c>
      <c r="AL200" s="33">
        <f>IF(AM204=7,"01.01.2019",IF(AM204=8,"01.02.2019",IF(AM204=9,"01.03.2019",IF(AM204=10,"01.04.2019",IF(AM204=11,"01.05.2019",IF(AM204=12,"01.06.2019",0))))))</f>
        <v>0</v>
      </c>
      <c r="AM200" s="74" t="str">
        <f>IF(AM204&lt;7,AK200,AL200)</f>
        <v>01.07.2018</v>
      </c>
      <c r="AV200" s="76" t="s">
        <v>295</v>
      </c>
      <c r="AW200" s="72"/>
      <c r="AX200" s="33">
        <v>71</v>
      </c>
      <c r="AY200" s="33">
        <v>127310</v>
      </c>
    </row>
    <row r="201" spans="32:86" ht="22.5" hidden="1" customHeight="1"/>
    <row r="202" spans="32:86" ht="22.5" hidden="1" customHeight="1" thickBot="1">
      <c r="BQ202" s="33" t="s">
        <v>445</v>
      </c>
    </row>
    <row r="203" spans="32:86" ht="22.5" hidden="1" customHeight="1" thickBot="1">
      <c r="AG203" s="392" t="s">
        <v>308</v>
      </c>
      <c r="AH203" s="392"/>
      <c r="AI203" s="392"/>
      <c r="AJ203" s="392"/>
      <c r="AK203" s="80">
        <f>P21</f>
        <v>34170</v>
      </c>
      <c r="AL203" s="80"/>
      <c r="AM203" s="80"/>
      <c r="AN203" s="33">
        <f>VLOOKUP(AK203,$BP$114:$BT$194,5,0)</f>
        <v>35</v>
      </c>
      <c r="AO203" s="81" t="s">
        <v>311</v>
      </c>
      <c r="AP203" s="82">
        <v>7</v>
      </c>
      <c r="AQ203" s="82">
        <v>8</v>
      </c>
      <c r="AR203" s="82">
        <v>9</v>
      </c>
      <c r="AS203" s="83" t="s">
        <v>316</v>
      </c>
      <c r="AV203" s="33">
        <f>VLOOKUP(BC204,CG114:CH194,2,0)</f>
        <v>39</v>
      </c>
      <c r="AW203" s="81" t="s">
        <v>311</v>
      </c>
      <c r="AX203" s="82">
        <v>7</v>
      </c>
      <c r="AY203" s="82">
        <v>8</v>
      </c>
      <c r="AZ203" s="82">
        <v>9</v>
      </c>
      <c r="BA203" s="84" t="s">
        <v>317</v>
      </c>
      <c r="BS203" s="361">
        <v>2021</v>
      </c>
      <c r="BT203" s="361"/>
      <c r="BU203" s="361"/>
      <c r="BV203" s="361"/>
      <c r="BX203" s="82">
        <v>2015</v>
      </c>
      <c r="BY203" s="82"/>
      <c r="BZ203" s="82"/>
      <c r="CA203" s="82"/>
    </row>
    <row r="204" spans="32:86" ht="22.5" hidden="1" customHeight="1" thickBot="1">
      <c r="AG204" s="85"/>
      <c r="AH204" s="86"/>
      <c r="AI204" s="86"/>
      <c r="AJ204" s="86"/>
      <c r="AK204" s="86"/>
      <c r="AL204" s="87"/>
      <c r="AM204" s="87">
        <f>IF(AM199&lt;3,1,VLOOKUP(P20,AM215:AN226,2,0))</f>
        <v>1</v>
      </c>
      <c r="AN204" s="86"/>
      <c r="AO204" s="86" t="s">
        <v>309</v>
      </c>
      <c r="AP204" s="86">
        <f>VLOOKUP(AT204,BP$114:BT$194,5,0)</f>
        <v>35</v>
      </c>
      <c r="AQ204" s="86" t="s">
        <v>212</v>
      </c>
      <c r="AR204" s="86" t="s">
        <v>213</v>
      </c>
      <c r="AS204" s="126" t="s">
        <v>310</v>
      </c>
      <c r="AT204" s="89">
        <f>AK203</f>
        <v>34170</v>
      </c>
      <c r="AU204" s="90">
        <f>IF(AM204=1,AT215,VLOOKUP(AM204,AN215:AT226,7,0))</f>
        <v>43282</v>
      </c>
      <c r="AV204" s="86"/>
      <c r="AW204" s="86"/>
      <c r="AX204" s="86" t="s">
        <v>309</v>
      </c>
      <c r="AY204" s="86">
        <f>VLOOKUP(BC204,BX$114:CA$194,4,0)</f>
        <v>39</v>
      </c>
      <c r="AZ204" s="86" t="s">
        <v>212</v>
      </c>
      <c r="BA204" s="86" t="s">
        <v>213</v>
      </c>
      <c r="BB204" s="88" t="s">
        <v>310</v>
      </c>
      <c r="BC204" s="89">
        <f>VLOOKUP(AK203,BA114:BF194,6)</f>
        <v>55720</v>
      </c>
      <c r="BJ204" s="361" t="s">
        <v>427</v>
      </c>
      <c r="BK204" s="361"/>
      <c r="BL204" s="361" t="s">
        <v>428</v>
      </c>
      <c r="BM204" s="361"/>
      <c r="BO204" s="33" t="s">
        <v>429</v>
      </c>
      <c r="BP204" s="33" t="s">
        <v>430</v>
      </c>
      <c r="BQ204" s="33" t="s">
        <v>431</v>
      </c>
      <c r="BR204" s="33" t="s">
        <v>432</v>
      </c>
      <c r="BU204" s="362" t="s">
        <v>433</v>
      </c>
      <c r="BV204" s="363"/>
      <c r="BW204" s="33" t="s">
        <v>168</v>
      </c>
      <c r="BX204" s="33" t="s">
        <v>169</v>
      </c>
      <c r="BZ204" s="362" t="s">
        <v>433</v>
      </c>
      <c r="CA204" s="363"/>
      <c r="CB204" s="33" t="s">
        <v>168</v>
      </c>
      <c r="CC204" s="33" t="s">
        <v>169</v>
      </c>
    </row>
    <row r="205" spans="32:86" ht="22.5" hidden="1" customHeight="1" thickBot="1">
      <c r="AF205" s="246">
        <f t="shared" ref="AF205:AF210" si="11">VLOOKUP(B44,$AV$121:$AX$129,3,0)</f>
        <v>2</v>
      </c>
      <c r="AG205" s="91">
        <v>1</v>
      </c>
      <c r="AH205" s="92">
        <f t="shared" ref="AH205:AH210" si="12">IF(AND(AF205&gt;2,AF205&lt;7),5,AF205)</f>
        <v>2</v>
      </c>
      <c r="AI205" s="93">
        <f t="shared" ref="AI205:AI210" si="13">IF(AH205=1,1,G44)</f>
        <v>1</v>
      </c>
      <c r="AJ205" s="93">
        <f t="shared" ref="AJ205:AJ210" si="14">IF(AH205=1,1,H44)</f>
        <v>10</v>
      </c>
      <c r="AK205" s="93">
        <f t="shared" ref="AK205:AK210" si="15">IF(AH205=1,2100,I44)</f>
        <v>2018</v>
      </c>
      <c r="AL205" s="93" t="str">
        <f t="shared" ref="AL205:AL210" si="16">IF(AJ205=0,1000,CONCATENATE(VLOOKUP(AJ205,AK$139:AL$150,2,0),", ",AK205))</f>
        <v>Oct, 2018</v>
      </c>
      <c r="AM205" s="93">
        <f t="shared" ref="AM205:AM210" si="17">IF(AK205=2100,1000,VLOOKUP(AL205,AM$215:AN$268,2,0))</f>
        <v>4</v>
      </c>
      <c r="AN205" s="94">
        <f t="shared" ref="AN205:AN210" si="18">VLOOKUP(K44,$AV$132:$AX$164,3,0)</f>
        <v>30</v>
      </c>
      <c r="AO205" s="95">
        <f>IF($AH205=1,AK203,IF(AND($AH205=4,AN203+1&gt;=AN205),VLOOKUP(AK203,BP$114:BR$194,2,0),IF(AND($AH205=4,AN203+1&lt;AN205),VLOOKUP(AN205,BO$114:BR$194,2,0),IF(AND($AH205&gt;1,$AH205&lt;7),VLOOKUP(AK203,BP$114:BR$194,2,0),0))))</f>
        <v>35120</v>
      </c>
      <c r="AP205" s="86">
        <v>13</v>
      </c>
      <c r="AQ205" s="275">
        <f>IF(AND($AH205=7,AP204+2&lt;=AN205),VLOOKUP(AN205,BO$114:BP$194,2,0),IF(AND($AH205=7,AP204+1=AN205),VLOOKUP(AN205,BP$114:BQ$194,2,0),IF($AH205=7,VLOOKUP(AT204,BP$114:BQ$194,2,0),0)))</f>
        <v>0</v>
      </c>
      <c r="AR205" s="95">
        <f>IF(AND($AH205=8,AN203+1=AN205),VLOOKUP(AN205,BO$114:BQ$194,3,0),IF(AND($AH205=8,AN203+2=AN205),VLOOKUP(AN205,BO$114:BQ$194,2,0),IF(AND($AH205=8,AN203+2&lt;AN205),VLOOKUP(AN205,BO$114:BQ$194,2,0),IF($AH205=8,VLOOKUP(AK203,BP$114:BR$194,3,0),0))))</f>
        <v>0</v>
      </c>
      <c r="AS205" s="96">
        <f>IF($AH205=9,VLOOKUP(AK203,BP$114:BR$194,3,0),0)</f>
        <v>0</v>
      </c>
      <c r="AT205" s="97">
        <f>IF($AH205&lt;7,AO205,IF($AH205=7,AQ205,IF($AH205=8,AR205,AS205)))</f>
        <v>35120</v>
      </c>
      <c r="AU205" s="90">
        <f t="shared" ref="AU205:AU210" si="19">DATE(AK205,AJ205,IF(OR(AH205&lt;3,AH205=9),1,AI205))</f>
        <v>43374</v>
      </c>
      <c r="AV205" s="95"/>
      <c r="AW205" s="98">
        <f t="shared" ref="AW205:AW210" si="20">VLOOKUP(P44,$AV$168:$AX$200,3,0)</f>
        <v>38</v>
      </c>
      <c r="AX205" s="95">
        <f>IF($AH205=1,BC204,IF(AND($AH205=4,AV203+1&gt;=AW205),VLOOKUP(BC204,BX$114:BZ$194,2,0),IF(AND($AH205=4,AV203+1&lt;AW205),VLOOKUP(AW205,BW$114:BZ$194,2,0),IF(AND($AH205&gt;1,$AH205&lt;7),VLOOKUP(BC204,BX$114:BZ$194,2,0),0))))</f>
        <v>57220</v>
      </c>
      <c r="AY205" s="86">
        <f t="shared" ref="AY205:AY210" si="21">VLOOKUP(BC204,BX$114:CA$194,4,0)</f>
        <v>39</v>
      </c>
      <c r="AZ205" s="275">
        <f t="shared" ref="AZ205:AZ210" si="22">IF(AND($AH205=7,AY204+2&lt;=AW205),VLOOKUP(AW205,BW$114:BX$194,2,0),IF(AND($AH205=7,AY204+1=AW205),VLOOKUP(AW205,BW$114:BX$194,2,0),IF($AH205=7,VLOOKUP(BC204,BX$114:BY$194,2,0),0)))</f>
        <v>0</v>
      </c>
      <c r="BA205" s="95">
        <f>IF(AND($AH205=8,AV203+1=AW205),VLOOKUP(AW205,BW$114:BY$194,3,0),IF(AND($AH205=8,AV203+2=AW205),VLOOKUP(AW205,BW$114:BY$194,2,0),IF(AND($AH205=8,AV203+2&lt;AW205),VLOOKUP(AW205,BW$114:BY$194,2,0),IF($AH205=8,VLOOKUP(BC204,BX$114:BZ$194,3,0),0))))</f>
        <v>0</v>
      </c>
      <c r="BB205" s="96">
        <f>IF($AH205=9,VLOOKUP(BC204,BX$114:BZ$194,3,0),0)</f>
        <v>0</v>
      </c>
      <c r="BC205" s="97">
        <f>IF($AH205&lt;7,AX205,IF($AH205=7,AZ205,IF($AH205=8,BA205,BB205)))</f>
        <v>57220</v>
      </c>
      <c r="BD205" s="33" t="str">
        <f t="shared" ref="BD205:BD210" si="23">VLOOKUP(AF205,AU$121:AV$129,2,0)</f>
        <v>Increment</v>
      </c>
      <c r="BF205" s="33">
        <f t="shared" ref="BF205:BF210" si="24">IF(OR(AH205=5,AH205=7,AH205=8),DAY(AU205),1)</f>
        <v>1</v>
      </c>
      <c r="BG205" s="33">
        <f t="shared" ref="BG205:BG210" si="25">DAY(EOMONTH(AU205,0))</f>
        <v>31</v>
      </c>
      <c r="BH205" s="33">
        <f t="shared" ref="BH205:BH210" si="26">BG205-BF205</f>
        <v>30</v>
      </c>
      <c r="BI205" s="74">
        <f t="shared" ref="BI205:BI210" si="27">IF(OR(AH205=5,AH205=7,AH205=8),AU205,DATE(YEAR(AU205),MONTH(AU205),1))</f>
        <v>43374</v>
      </c>
      <c r="BJ205" s="33">
        <f t="shared" ref="BJ205:BJ210" si="28">IF(OR(AH205=5,AH205=7,AH205=8),ROUND(BC205*(BH205+1)/BG205,0.1),0)</f>
        <v>0</v>
      </c>
      <c r="BK205" s="33">
        <f t="shared" ref="BK205:BK210" si="29">IF(OR(AH205=5,AH205=7,AH205=8),ROUND(BC204*(BF205-1)/BG205,0.1),0)</f>
        <v>0</v>
      </c>
      <c r="BL205" s="33">
        <f t="shared" ref="BL205:BL210" si="30">IF(OR(AH205=5,AH205=7,AH205=8),ROUND(AT205*(BH205+1)/BG205,0.1),0)</f>
        <v>0</v>
      </c>
      <c r="BM205" s="33">
        <f t="shared" ref="BM205:BM210" si="31">IF(OR(AH205=5,AH205=7,AH205=8),ROUND(AT204*(BF205-1)/BG205,0.1),0)</f>
        <v>0</v>
      </c>
      <c r="BN205" s="59">
        <f t="shared" ref="BN205:BN210" si="32">DATE(AK205,AJ205,1)</f>
        <v>43374</v>
      </c>
      <c r="BO205" s="33">
        <f t="shared" ref="BO205:BO210" si="33">VLOOKUP(BN205,AT$215:AX$287,4,0)</f>
        <v>0</v>
      </c>
      <c r="BP205" s="33">
        <f t="shared" ref="BP205:BP210" si="34">VLOOKUP(BN205,AT$215:BC$287,10,0)</f>
        <v>30.391999999999999</v>
      </c>
      <c r="BQ205" s="33">
        <f t="shared" ref="BQ205:BQ210" si="35">VLOOKUP(BN205,AT$215:BA$287,8,0)</f>
        <v>24</v>
      </c>
      <c r="BR205" s="33">
        <f t="shared" ref="BR205:BR210" si="36">VLOOKUP(BN205,AT215:AX287,5,0)</f>
        <v>30</v>
      </c>
      <c r="BT205" s="74">
        <f>IF(AH205=5,BN205,IF(AH206=5,BN206,IF(AH207=5,BN207,IF(AH208=5,BN208,IF(AH209=5,BN209,IF(AH210=5,BN210,DATE(2100,1,1)))))))</f>
        <v>44105</v>
      </c>
      <c r="BU205" s="111">
        <f>IF(AH205=5,BJ205+BK205-BC204,IF(AH206=5,BJ206+BK206-BC205,IF(AH207=5,BJ207+BK207-BC206,IF(AH208=5,BJ208+BK208-BC207,IF(AH209=5,BJ209+BK209-BC208,IF(AH210=5,BJ210+BK210-BC209,0))))))</f>
        <v>788</v>
      </c>
      <c r="BV205" s="67">
        <f>IF(AND(AH205=5,BF205&gt;1),BU205,IF(AND(AH206=5,BF206&gt;1),BU205,IF(AND(AH207=5,BF207&gt;1),BU205,IF(AND(AH208=5,BF208&gt;1),BU205,IF(AND(AH209=5,BF209&gt;1),BU205,IF(AND(AH210=5,BF210&gt;1),BU205,0))))))</f>
        <v>788</v>
      </c>
      <c r="BW205" s="33">
        <f>IF(AH205=5,BO205,IF(AH206=5,BO206,IF(AH207=5,BO207,IF(AH208=5,BO208,IF(AH209=5,BO209,IF(AH210=5,BO210,0))))))</f>
        <v>7.28</v>
      </c>
      <c r="BX205" s="33">
        <f>IF(AH205=5,BQ205,IF(AH206=5,BQ206,IF(AH207=5,BQ207,IF(AH208=5,BQ208,IF(AH209=5,BQ209,IF(AH210=5,BQ210,0))))))</f>
        <v>24</v>
      </c>
      <c r="BZ205" s="111">
        <f>IF(AH205=5,BL205+BM205-AT204,IF(AH206=5,BL206+BM206-AT205,IF(AH207=5,BL207+BM207-AT206,IF(AH208=5,BL208+BM208-AT207,IF(AH209=5,BL209+BM209-AT208,IF(AH210=5,BL210+BM210-AT209,0))))))</f>
        <v>498</v>
      </c>
      <c r="CA205" s="67">
        <f>IF(AND(AH205=5,BF205&gt;1),BZ205,IF(AND(AH206=5,BF206&gt;1),BZ205,IF(AND(AH207=5,BF207&gt;1),BZ205,IF(AND(AH208=5,BF208&gt;1),BZ205,IF(AND(AH209=5,BF209&gt;1),BZ205,IF(AND(AH210=5,BF210&gt;1),BZ205,0))))))</f>
        <v>498</v>
      </c>
      <c r="CB205" s="33">
        <f>IF(AH205=5,BP205,IF(AH206=5,BP206,IF(AH207=5,BP207,IF(AH208=5,BP208,IF(AH209=5,BP209,IF(AH210=5,BP210,0))))))</f>
        <v>38.776000000000003</v>
      </c>
      <c r="CC205" s="33">
        <f>IF(AH205=5,BR205,IF(AH206=5,BR206,IF(AH207=5,BR207,IF(AH208=5,BR208,IF(AH209=5,BR209,IF(AH210=5,BR210,0))))))</f>
        <v>30</v>
      </c>
    </row>
    <row r="206" spans="32:86" ht="22.5" hidden="1" customHeight="1" thickBot="1">
      <c r="AF206" s="246">
        <f t="shared" si="11"/>
        <v>2</v>
      </c>
      <c r="AG206" s="91">
        <v>2</v>
      </c>
      <c r="AH206" s="92">
        <f t="shared" si="12"/>
        <v>2</v>
      </c>
      <c r="AI206" s="93">
        <f>IF(AH206=1,1,G45)</f>
        <v>1</v>
      </c>
      <c r="AJ206" s="93">
        <f t="shared" si="14"/>
        <v>10</v>
      </c>
      <c r="AK206" s="93">
        <f t="shared" si="15"/>
        <v>2019</v>
      </c>
      <c r="AL206" s="93" t="str">
        <f t="shared" si="16"/>
        <v>Oct, 2019</v>
      </c>
      <c r="AM206" s="93">
        <f t="shared" si="17"/>
        <v>16</v>
      </c>
      <c r="AN206" s="94">
        <f t="shared" si="18"/>
        <v>30</v>
      </c>
      <c r="AO206" s="95">
        <f>IF($AH206=1,AO205,IF(AND($AH206=4,AN205+1&gt;=AN206),VLOOKUP(AT205,BP$114:BR$194,2,0),IF(AND($AH206=4,AN205+1&lt;AN206),VLOOKUP(AN206,BO$114:BR$194,2,0),IF(AND($AH206&gt;1,$AH206&lt;7),VLOOKUP(AT205,BP$114:BR$194,2,0),0))))</f>
        <v>36070</v>
      </c>
      <c r="AP206" s="86">
        <f>VLOOKUP(AT206,BP$114:BT$194,5,0)</f>
        <v>37</v>
      </c>
      <c r="AQ206" s="275">
        <f>IF(AND($AH206=7,AP205+2&lt;=AN206),VLOOKUP(AN206,BO$114:BP$194,2,0),IF(AND($AH206=7,AP205+1=AN206),VLOOKUP(AN206,BP$114:BQ$194,2,0),IF($AH206=7,VLOOKUP(AT205,BP$114:BQ$194,2,0),0)))</f>
        <v>0</v>
      </c>
      <c r="AR206" s="95">
        <f>IF(AND($AH206=8,AN205+1=AN206),VLOOKUP(AN206,BO$114:BQ$194,3,0),IF(AND($AH206=8,AN205+2=AN206),VLOOKUP(AN206,BO$114:BQ$194,2,0),IF(AND($AH206=8,AN205+2&lt;AN206),VLOOKUP(AN206,BO$114:BQ$194,2,0),IF($AH206=8,VLOOKUP(AT205,BP$114:BR$194,3,0),0))))</f>
        <v>0</v>
      </c>
      <c r="AS206" s="96">
        <f>IF(AND($AH206=9,AN203+2=AN205),VLOOKUP(AT205,BP$114:BR$194,2,0),IF($AH206=9,VLOOKUP(AT205,BP$114:BR$194,3,0),0))</f>
        <v>0</v>
      </c>
      <c r="AT206" s="99">
        <f>IF(AH206&lt;7,AO206,IF(AH206=7,AQ206,IF(AH206=8,AR206,AS206)))</f>
        <v>36070</v>
      </c>
      <c r="AU206" s="90">
        <f t="shared" si="19"/>
        <v>43739</v>
      </c>
      <c r="AV206" s="95"/>
      <c r="AW206" s="98">
        <f t="shared" si="20"/>
        <v>38</v>
      </c>
      <c r="AX206" s="95">
        <f>IF($AH206=1,AX205,IF(AND($AH206=4,AW205+1&gt;=AW206),VLOOKUP(BC205,BX$114:BZ$194,2,0),IF(AND($AH206=4,AW205+1&lt;AW206),VLOOKUP(AW206,BW$114:BZ$194,2,0),IF(AND($AH206&gt;1,$AH206&lt;7),VLOOKUP(BC205,BX$114:BZ$194,2,0),0))))</f>
        <v>58850</v>
      </c>
      <c r="AY206" s="86">
        <f t="shared" si="21"/>
        <v>40</v>
      </c>
      <c r="AZ206" s="275">
        <f t="shared" si="22"/>
        <v>0</v>
      </c>
      <c r="BA206" s="95">
        <f>IF(AND($AH206=8,AW205+1=AW206),VLOOKUP(AW206,BW$114:BY$194,3,0),IF(AND($AH206=8,AW205+2=AW206),VLOOKUP(AW206,BW$114:BY$194,2,0),IF(AND($AH206=8,AW205+2&lt;AW206),VLOOKUP(AW206,BW$114:BY$194,2,0),IF($AH206=8,VLOOKUP(BC205,BX$114:BZ$194,3,0),0))))</f>
        <v>0</v>
      </c>
      <c r="BB206" s="96">
        <f>IF(AND($AH206=9,AV203+2=AW205),VLOOKUP(BC205,BX$114:BZ$194,2,0),IF($AH206=9,VLOOKUP(BC205,BX$114:BZ$194,3,0),0))</f>
        <v>0</v>
      </c>
      <c r="BC206" s="99">
        <f>IF(AH206&lt;7,AX206,IF(AH206=7,AZ206,IF(AH206=8,BA206,BB206)))</f>
        <v>58850</v>
      </c>
      <c r="BD206" s="33" t="str">
        <f t="shared" si="23"/>
        <v>Increment</v>
      </c>
      <c r="BF206" s="33">
        <f t="shared" si="24"/>
        <v>1</v>
      </c>
      <c r="BG206" s="33">
        <f t="shared" si="25"/>
        <v>31</v>
      </c>
      <c r="BH206" s="33">
        <f t="shared" si="26"/>
        <v>30</v>
      </c>
      <c r="BI206" s="74">
        <f t="shared" si="27"/>
        <v>43739</v>
      </c>
      <c r="BJ206" s="33">
        <f t="shared" si="28"/>
        <v>0</v>
      </c>
      <c r="BK206" s="33">
        <f t="shared" si="29"/>
        <v>0</v>
      </c>
      <c r="BL206" s="33">
        <f t="shared" si="30"/>
        <v>0</v>
      </c>
      <c r="BM206" s="33">
        <f t="shared" si="31"/>
        <v>0</v>
      </c>
      <c r="BN206" s="59">
        <f t="shared" si="32"/>
        <v>43739</v>
      </c>
      <c r="BO206" s="33">
        <f t="shared" si="33"/>
        <v>7.28</v>
      </c>
      <c r="BP206" s="33">
        <f t="shared" si="34"/>
        <v>38.776000000000003</v>
      </c>
      <c r="BQ206" s="33">
        <f t="shared" si="35"/>
        <v>24</v>
      </c>
      <c r="BR206" s="33">
        <f t="shared" si="36"/>
        <v>30</v>
      </c>
      <c r="BT206" s="74">
        <f>IF(AH205=7,BN205,IF(AH206=7,BN206,IF(AH207=7,BN207,IF(AH208=7,BN208,IF(AH209=7,BN209,IF(AH210=7,BN210,DATE(2100,1,1)))))))</f>
        <v>73051</v>
      </c>
      <c r="BU206" s="111">
        <f>IF(AH205=7,BJ205+BK205-BC204,IF(AH206=7,BJ206+BK206-BC205,IF(AH207=7,BJ207+BK207-BC206,IF(AH208=7,BJ208+BK208-BC207,IF(AH209=7,BJ209+BK209-BC208,IF(AH210=7,BJ210+BK210-BA1989,0))))))</f>
        <v>0</v>
      </c>
      <c r="BV206" s="67">
        <f>IF(AND(AH205=7,BF205&gt;1),BU206,IF(AND(AH206=7,BF206&gt;1),BU206,IF(AND(AH207=7,BF207&gt;1),BU206,IF(AND(AH208=7,BF208&gt;1),BU206,IF(AND(AH209=7,BF209&gt;1),BU206,IF(AND(AH210=7,BF210&gt;1),BU206,0))))))</f>
        <v>0</v>
      </c>
      <c r="BW206" s="33">
        <f>IF(AH205=7,BO205,IF(AH206=7,BO206,IF(AH207=7,BO207,IF(AH208=7,BO208,IF(AH209=7,BO209,IF(AH210=7,BO210,0))))))</f>
        <v>0</v>
      </c>
      <c r="BX206" s="33">
        <f>IF(AH205=7,BQ205,IF(AH206=7,BQ206,IF(AH207=7,BQ207,IF(AH208=7,BQ208,IF(AH209=7,BQ209,IF(AH210=7,BQ210,0))))))</f>
        <v>0</v>
      </c>
      <c r="BZ206" s="111">
        <f>IF(AH205=7,BL205+BM205-AT204,IF(AH206=7,BL206+BM206-AT205,IF(AH207=7,BL207+BM207-AT206,IF(AH208=7,BL208+BM208-AT207,IF(AH209=7,BL209+BM209-AT208,IF(AH210=7,BL210+BM210-AT209,0))))))</f>
        <v>0</v>
      </c>
      <c r="CA206" s="67">
        <f>IF(AND(AH205=7,BF205&gt;1),BZ206,IF(AND(AH206=7,BF206&gt;1),BZ206,IF(AND(AH207=7,BF207&gt;1),BZ206,IF(AND(AH208=7,BF208&gt;1),BZ206,IF(AND(AH209=7,BF209&gt;1),BZ206,IF(AND(AH210=7,BF210&gt;1),BZ206,0))))))</f>
        <v>0</v>
      </c>
      <c r="CB206" s="33">
        <f>IF(AH205=7,BP205,IF(AH206=7,BP206,IF(AH207=7,BP207,IF(AH208=7,BP208,IF(AH209=7,BP209,IF(AH210=7,BP210,0))))))</f>
        <v>0</v>
      </c>
      <c r="CC206" s="33">
        <f>IF(AH205=7,BR205,IF(AH206=7,BR206,IF(AH207=7,BR207,IF(AH208=7,BR208,IF(AH209=7,BR209,IF(AH210=7,BR210,0))))))</f>
        <v>0</v>
      </c>
    </row>
    <row r="207" spans="32:86" ht="22.5" hidden="1" customHeight="1" thickBot="1">
      <c r="AF207" s="246">
        <f t="shared" si="11"/>
        <v>2</v>
      </c>
      <c r="AG207" s="91">
        <v>3</v>
      </c>
      <c r="AH207" s="92">
        <f t="shared" si="12"/>
        <v>2</v>
      </c>
      <c r="AI207" s="93">
        <f t="shared" si="13"/>
        <v>1</v>
      </c>
      <c r="AJ207" s="93">
        <f t="shared" si="14"/>
        <v>10</v>
      </c>
      <c r="AK207" s="93">
        <f t="shared" si="15"/>
        <v>2020</v>
      </c>
      <c r="AL207" s="93" t="str">
        <f t="shared" si="16"/>
        <v>Oct, 2020</v>
      </c>
      <c r="AM207" s="93">
        <f t="shared" si="17"/>
        <v>28</v>
      </c>
      <c r="AN207" s="94">
        <f t="shared" si="18"/>
        <v>30</v>
      </c>
      <c r="AO207" s="95">
        <f>IF($AH207=1,AO206,IF(AND($AH207=4,AN206+1&gt;=AN207),VLOOKUP(AT206,BP$114:BR$194,2,0),IF(AND($AH207=4,AN206+1&lt;AN207),VLOOKUP(AN207,BO$114:BR$194,2,0),IF(AND($AH207&gt;1,$AH207&lt;7),VLOOKUP(AT206,BP$114:BR$194,2,0),0))))</f>
        <v>37100</v>
      </c>
      <c r="AP207" s="86">
        <f>VLOOKUP(AT207,BP$114:BT$194,5,0)</f>
        <v>38</v>
      </c>
      <c r="AQ207" s="275">
        <f t="shared" ref="AQ207:AQ210" si="37">IF(AND($AH207=7,AP206+2&lt;=AN207),VLOOKUP(AN207,BO$114:BP$194,2,0),IF(AND($AH207=7,AP206+1=AN207),VLOOKUP(AN207,BP$114:BQ$194,2,0),IF($AH207=7,VLOOKUP(AT206,BP$114:BQ$194,2,0),0)))</f>
        <v>0</v>
      </c>
      <c r="AR207" s="95">
        <f>IF(AND($AH207=8,AN206+1=AN207),VLOOKUP(AN207,BO$114:BQ$194,3,0),IF(AND($AH207=8,AN206+2=AN207),VLOOKUP(AN207,BO$114:BQ$194,2,0),IF(AND($AH207=8,AN206+2&lt;AN207),VLOOKUP(AN207,BO$114:BQ$194,2,0),IF($AH207=8,VLOOKUP(AT206,BP$114:BR$194,3,0),0))))</f>
        <v>0</v>
      </c>
      <c r="AS207" s="96">
        <f>IF(AND(AH207=9,AN205+2=AN206),VLOOKUP(AT206,$BP$114:$BR$194,2,0),IF(AH207=9,VLOOKUP(AT206,$BP$114:$BR$194,3,0),0))</f>
        <v>0</v>
      </c>
      <c r="AT207" s="99">
        <f>IF(AH207&lt;7,AO207,IF(AH207=7,AQ207,IF(AH207=8,AR207,AS207)))</f>
        <v>37100</v>
      </c>
      <c r="AU207" s="90">
        <f t="shared" si="19"/>
        <v>44105</v>
      </c>
      <c r="AV207" s="95"/>
      <c r="AW207" s="98">
        <f t="shared" si="20"/>
        <v>38</v>
      </c>
      <c r="AX207" s="95">
        <f>IF($AH207=1,AX206,IF(AND($AH207=4,AW206+1&gt;=AW207),VLOOKUP(BC206,BX$114:BZ$194,2,0),IF(AND($AH207=4,AW206+1&lt;AW207),VLOOKUP(AW207,BW$114:BZ$194,2,0),IF(AND($AH207&gt;1,$AH207&lt;7),VLOOKUP(BC206,BX$114:BZ$194,2,0),0))))</f>
        <v>60480</v>
      </c>
      <c r="AY207" s="86">
        <f t="shared" si="21"/>
        <v>41</v>
      </c>
      <c r="AZ207" s="275">
        <f t="shared" si="22"/>
        <v>0</v>
      </c>
      <c r="BA207" s="95">
        <f>IF(AND($AH207=8,AW206+1=AW207),VLOOKUP(AW207,BW$114:BY$194,3,0),IF(AND($AH207=8,AW206+2=AW207),VLOOKUP(AW207,BW$114:BY$194,2,0),IF(AND($AH207=8,AW206+2&lt;AW207),VLOOKUP(AW207,BW$114:BY$194,2,0),IF($AH207=8,VLOOKUP(BC206,BX$114:BZ$194,3,0),0))))</f>
        <v>0</v>
      </c>
      <c r="BB207" s="96">
        <f>IF(AND($AH207=9,AW204+2=AW206),VLOOKUP(BC206,BX$114:BZ$194,2,0),IF($AH207=9,VLOOKUP(BC206,BX$114:BZ$194,3,0),0))</f>
        <v>0</v>
      </c>
      <c r="BC207" s="99">
        <f>IF(AH207&lt;7,AX207,IF(AH207=7,AZ207,IF(AH207=8,BA207,BB207)))</f>
        <v>60480</v>
      </c>
      <c r="BD207" s="33" t="str">
        <f t="shared" si="23"/>
        <v>Increment</v>
      </c>
      <c r="BF207" s="33">
        <f t="shared" si="24"/>
        <v>1</v>
      </c>
      <c r="BG207" s="33">
        <f t="shared" si="25"/>
        <v>31</v>
      </c>
      <c r="BH207" s="33">
        <f t="shared" si="26"/>
        <v>30</v>
      </c>
      <c r="BI207" s="74">
        <f t="shared" si="27"/>
        <v>44105</v>
      </c>
      <c r="BJ207" s="33">
        <f t="shared" si="28"/>
        <v>0</v>
      </c>
      <c r="BK207" s="33">
        <f t="shared" si="29"/>
        <v>0</v>
      </c>
      <c r="BL207" s="33">
        <f t="shared" si="30"/>
        <v>0</v>
      </c>
      <c r="BM207" s="33">
        <f t="shared" si="31"/>
        <v>0</v>
      </c>
      <c r="BN207" s="59">
        <f t="shared" si="32"/>
        <v>44105</v>
      </c>
      <c r="BO207" s="33">
        <f t="shared" si="33"/>
        <v>7.28</v>
      </c>
      <c r="BP207" s="33">
        <f t="shared" si="34"/>
        <v>38.776000000000003</v>
      </c>
      <c r="BQ207" s="33">
        <f t="shared" si="35"/>
        <v>24</v>
      </c>
      <c r="BR207" s="33">
        <f t="shared" si="36"/>
        <v>30</v>
      </c>
      <c r="BT207" s="74">
        <f>IF(AH205=8,BN205,IF(AH206=8,BN206,IF(AH207=8,BN207,IF(AH208=8,BN208,IF(AH209=8,BN209,IF(AH210=8,BN210,DATE(2100,1,1)))))))</f>
        <v>73051</v>
      </c>
      <c r="BU207" s="119">
        <f>IF(AH205=8,BJ205+BK205-BC204,IF(AH206=8,BJ206+BK206-BC205,IF(AH207=8,BJ207+BK207-BC206,IF(AH208=8,BJ208+BK208-BC207,IF(AH209=8,BJ209+BK209-BC208,IF(AH210=8,BJ210+BK210-BC209,0))))))</f>
        <v>0</v>
      </c>
      <c r="BV207" s="72">
        <f>IF(AND(AH205=8,BF205&gt;1),BU207,IF(AND(AH206=8,BF206&gt;1),BU207,IF(AND(AH207=8,BF207&gt;1),BU207,IF(AND(AH208=8,BF208&gt;1),BU207,IF(AND(AH209=8,BF209&gt;1),BU207,IF(AND(AH210=8,BF210&gt;1),BU207,0))))))</f>
        <v>0</v>
      </c>
      <c r="BW207" s="33">
        <f>IF(AH205=8,BO205,IF(AH206=8,BO206,IF(AH207=8,BO207,IF(AH208=8,BO208,IF(AH209=8,BO209,IF(AH210=8,BO210,0))))))</f>
        <v>0</v>
      </c>
      <c r="BX207" s="33">
        <f>IF(AH205=8,BQ205,IF(AH206=8,BQ206,IF(AH207=8,BQ207,IF(AH208=8,BQ208,IF(AH209=8,BQ209,IF(AH210=8,BQ210,0))))))</f>
        <v>0</v>
      </c>
      <c r="BZ207" s="119">
        <f>IF(AH205=8,BL205+BM205-AT204,IF(AH206=8,BL206+BM206-AT205,IF(AH207=8,BL207+BM207-AT206,IF(AH208=8,BL208+BM208-AT207,IF(AH209=8,BL209+BM209-AT208,IF(AH210=8,BL210+BM210-AT209,0))))))</f>
        <v>0</v>
      </c>
      <c r="CA207" s="72">
        <f>IF(AND(AH205=8,BF205&gt;1),BZ207,IF(AND(AH206=8,BF206&gt;1),BZ207,IF(AND(AH207=8,BF207&gt;1),BZ207,IF(AND(AH208=8,BF208&gt;1),BZ207,IF(AND(AH209=8,BF209&gt;1),BZ207,IF(AND(AH210=8,BF210&gt;1),BZ207,0))))))</f>
        <v>0</v>
      </c>
      <c r="CB207" s="33">
        <f>IF(AH205=8,BP205,IF(AH206=8,BP206,IF(AH207=8,BP207,IF(AH208=8,BP208,IF(AH209=8,BP209,IF(AH210=8,BP210,0))))))</f>
        <v>0</v>
      </c>
      <c r="CC207" s="33">
        <f>IF(AH205=8,BR205,IF(AH206=8,BR206,IF(AH207=8,BR207,IF(AH208=8,BR208,IF(AH209=8,BR209,IF(AH210=8,BR210,0))))))</f>
        <v>0</v>
      </c>
    </row>
    <row r="208" spans="32:86" ht="22.5" hidden="1" customHeight="1" thickBot="1">
      <c r="AF208" s="246">
        <f t="shared" si="11"/>
        <v>5</v>
      </c>
      <c r="AG208" s="91">
        <v>4</v>
      </c>
      <c r="AH208" s="92">
        <f t="shared" si="12"/>
        <v>5</v>
      </c>
      <c r="AI208" s="93">
        <f t="shared" si="13"/>
        <v>17</v>
      </c>
      <c r="AJ208" s="93">
        <f t="shared" si="14"/>
        <v>10</v>
      </c>
      <c r="AK208" s="93">
        <f t="shared" si="15"/>
        <v>2020</v>
      </c>
      <c r="AL208" s="93" t="str">
        <f t="shared" si="16"/>
        <v>Oct, 2020</v>
      </c>
      <c r="AM208" s="93">
        <f t="shared" si="17"/>
        <v>28</v>
      </c>
      <c r="AN208" s="94">
        <f t="shared" si="18"/>
        <v>30</v>
      </c>
      <c r="AO208" s="95">
        <f>IF($AH208=1,AO207,IF(AND($AH208=4,AN207+1&gt;=AN208),VLOOKUP(AT207,BP$114:BR$194,2,0),IF(AND($AH208=4,AN207+1&lt;AN208),VLOOKUP(AN208,BO$114:BR$194,2,0),IF(AND($AH208&gt;1,$AH208&lt;7),VLOOKUP(AT207,BP$114:BR$194,2,0),0))))</f>
        <v>38130</v>
      </c>
      <c r="AP208" s="86">
        <f>VLOOKUP(AT208,BP$114:BT$194,5,0)</f>
        <v>39</v>
      </c>
      <c r="AQ208" s="275">
        <f t="shared" si="37"/>
        <v>0</v>
      </c>
      <c r="AR208" s="95">
        <f>IF(AND($AH208=8,AN207+1=AN208),VLOOKUP(AN208,BO$114:BQ$194,3,0),IF(AND($AH208=8,AN207+2=AN208),VLOOKUP(AN208,BO$114:BQ$194,2,0),IF(AND($AH208=8,AN207+2&lt;AN208),VLOOKUP(AN208,BO$114:BQ$194,2,0),IF($AH208=8,VLOOKUP(AT207,BP$114:BR$194,3,0),0))))</f>
        <v>0</v>
      </c>
      <c r="AS208" s="96">
        <f>IF(AND(AH208=9,AN206+2=AN207),VLOOKUP(AT207,$BP$114:$BR$194,2,0),IF(AH208=9,VLOOKUP(AT207,$BP$114:$BR$194,3,0),0))</f>
        <v>0</v>
      </c>
      <c r="AT208" s="99">
        <f>IF(AH208&lt;7,AO208,IF(AH208=7,AQ208,IF(AH208=8,AR208,AS208)))</f>
        <v>38130</v>
      </c>
      <c r="AU208" s="90">
        <f t="shared" si="19"/>
        <v>44121</v>
      </c>
      <c r="AV208" s="95"/>
      <c r="AW208" s="98">
        <f t="shared" si="20"/>
        <v>38</v>
      </c>
      <c r="AX208" s="95">
        <f>IF($AH208=1,AX207,IF(AND($AH208=4,AW207+1&gt;=AW208),VLOOKUP(BC207,BX$114:BZ$194,2,0),IF(AND($AH208=4,AW207+1&lt;AW208),VLOOKUP(AW208,BW$114:BZ$194,2,0),IF(AND($AH208&gt;1,$AH208&lt;7),VLOOKUP(BC207,BX$114:BZ$194,2,0),0))))</f>
        <v>62110</v>
      </c>
      <c r="AY208" s="86">
        <f t="shared" si="21"/>
        <v>42</v>
      </c>
      <c r="AZ208" s="275">
        <f t="shared" si="22"/>
        <v>0</v>
      </c>
      <c r="BA208" s="95">
        <f>IF(AND($AH208=8,AW207+1=AW208),VLOOKUP(AW208,BW$114:BY$194,3,0),IF(AND($AH208=8,AW207+2=AW208),VLOOKUP(AW208,BW$114:BY$194,2,0),IF(AND($AH208=8,AW207+2&lt;AW208),VLOOKUP(AW208,BW$114:BY$194,2,0),IF($AH208=8,VLOOKUP(BC207,BX$114:BZ$194,3,0),0))))</f>
        <v>0</v>
      </c>
      <c r="BB208" s="96">
        <f>IF(AND($AH208=9,AW205+2=AW207),VLOOKUP(BC207,BX$114:BZ$194,2,0),IF($AH208=9,VLOOKUP(BC207,BX$114:BZ$194,3,0),0))</f>
        <v>0</v>
      </c>
      <c r="BC208" s="99">
        <f>IF(AH208&lt;7,AX208,IF(AH208=7,AZ208,IF(AH208=8,BA208,BB208)))</f>
        <v>62110</v>
      </c>
      <c r="BD208" s="33" t="str">
        <f t="shared" si="23"/>
        <v>AAS 18yrs SPP-IB</v>
      </c>
      <c r="BF208" s="33">
        <f t="shared" si="24"/>
        <v>17</v>
      </c>
      <c r="BG208" s="33">
        <f t="shared" si="25"/>
        <v>31</v>
      </c>
      <c r="BH208" s="33">
        <f t="shared" si="26"/>
        <v>14</v>
      </c>
      <c r="BI208" s="74">
        <f t="shared" si="27"/>
        <v>44121</v>
      </c>
      <c r="BJ208" s="33">
        <f t="shared" si="28"/>
        <v>30053</v>
      </c>
      <c r="BK208" s="33">
        <f t="shared" si="29"/>
        <v>31215</v>
      </c>
      <c r="BL208" s="33">
        <f t="shared" si="30"/>
        <v>18450</v>
      </c>
      <c r="BM208" s="33">
        <f t="shared" si="31"/>
        <v>19148</v>
      </c>
      <c r="BN208" s="59">
        <f t="shared" si="32"/>
        <v>44105</v>
      </c>
      <c r="BO208" s="33">
        <f t="shared" si="33"/>
        <v>7.28</v>
      </c>
      <c r="BP208" s="33">
        <f t="shared" si="34"/>
        <v>38.776000000000003</v>
      </c>
      <c r="BQ208" s="33">
        <f t="shared" si="35"/>
        <v>24</v>
      </c>
      <c r="BR208" s="33">
        <f t="shared" si="36"/>
        <v>30</v>
      </c>
    </row>
    <row r="209" spans="32:72" ht="22.5" hidden="1" customHeight="1" thickBot="1">
      <c r="AF209" s="246">
        <f t="shared" si="11"/>
        <v>1</v>
      </c>
      <c r="AG209" s="91">
        <v>5</v>
      </c>
      <c r="AH209" s="92">
        <f t="shared" si="12"/>
        <v>1</v>
      </c>
      <c r="AI209" s="93">
        <f t="shared" si="13"/>
        <v>1</v>
      </c>
      <c r="AJ209" s="93">
        <f t="shared" si="14"/>
        <v>1</v>
      </c>
      <c r="AK209" s="93">
        <f t="shared" si="15"/>
        <v>2100</v>
      </c>
      <c r="AL209" s="93" t="str">
        <f t="shared" si="16"/>
        <v>Jan, 2100</v>
      </c>
      <c r="AM209" s="93">
        <f t="shared" si="17"/>
        <v>1000</v>
      </c>
      <c r="AN209" s="94">
        <f t="shared" si="18"/>
        <v>30</v>
      </c>
      <c r="AO209" s="95">
        <f>IF($AH209=1,AO208,IF(AND($AH209=4,AN208+1&gt;=AN209),VLOOKUP(AT208,BP$114:BR$194,2,0),IF(AND($AH209=4,AN208+1&lt;AN209),VLOOKUP(AN209,BO$114:BR$194,2,0),IF(AND($AH209&gt;1,$AH209&lt;7),VLOOKUP(AT208,BP$114:BR$194,2,0),0))))</f>
        <v>38130</v>
      </c>
      <c r="AP209" s="86">
        <f>VLOOKUP(AT209,BP$114:BT$194,5,0)</f>
        <v>39</v>
      </c>
      <c r="AQ209" s="275">
        <f t="shared" si="37"/>
        <v>0</v>
      </c>
      <c r="AR209" s="95">
        <f>IF(AND($AH209=8,AN208+1=AN209),VLOOKUP(AN209,BO$114:BQ$194,3,0),IF(AND($AH209=8,AN208+2=AN209),VLOOKUP(AN209,BO$114:BQ$194,2,0),IF(AND($AH209=8,AN208+2&lt;AN209),VLOOKUP(AN209,BO$114:BQ$194,2,0),IF($AH209=8,VLOOKUP(AT208,BP$114:BR$194,3,0),0))))</f>
        <v>0</v>
      </c>
      <c r="AS209" s="96">
        <f>IF(AND(AH209=9,AN207+2=AN208),VLOOKUP(AT208,$BP$114:$BR$194,2,0),IF(AH209=9,VLOOKUP(AT208,$BP$114:$BR$194,3,0),0))</f>
        <v>0</v>
      </c>
      <c r="AT209" s="99">
        <f>IF(AH209&lt;7,AO209,IF(AH209=7,AQ209,IF(AH209=8,AR209,AS209)))</f>
        <v>38130</v>
      </c>
      <c r="AU209" s="90">
        <f t="shared" si="19"/>
        <v>73051</v>
      </c>
      <c r="AV209" s="95"/>
      <c r="AW209" s="98">
        <f t="shared" si="20"/>
        <v>38</v>
      </c>
      <c r="AX209" s="95">
        <f>IF($AH209=1,AX208,IF(AND($AH209=4,AW208+1&gt;=AW209),VLOOKUP(BC208,BX$114:BZ$194,2,0),IF(AND($AH209=4,AW208+1&lt;AW209),VLOOKUP(AW209,BW$114:BZ$194,2,0),IF(AND($AH209&gt;1,$AH209&lt;7),VLOOKUP(BC208,BX$114:BZ$194,2,0),0))))</f>
        <v>62110</v>
      </c>
      <c r="AY209" s="86">
        <f t="shared" si="21"/>
        <v>43</v>
      </c>
      <c r="AZ209" s="275">
        <f t="shared" si="22"/>
        <v>0</v>
      </c>
      <c r="BA209" s="95">
        <f>IF(AND($AH209=8,AW208+1=AW209),VLOOKUP(AW209,BW$114:BY$194,3,0),IF(AND($AH209=8,AW208+2=AW209),VLOOKUP(AW209,BW$114:BY$194,2,0),IF(AND($AH209=8,AW208+2&lt;AW209),VLOOKUP(AW209,BW$114:BY$194,2,0),IF($AH209=8,VLOOKUP(BC208,BX$114:BZ$194,3,0),0))))</f>
        <v>0</v>
      </c>
      <c r="BB209" s="96">
        <f>IF(AND($AH209=9,AW206+2=AW208),VLOOKUP(BC208,BX$114:BZ$194,2,0),IF($AH209=9,VLOOKUP(BC208,BX$114:BZ$194,3,0),0))</f>
        <v>0</v>
      </c>
      <c r="BC209" s="99">
        <f>IF(AH209&lt;7,AX209,IF(AH209=7,AZ209,IF(AH209=8,BA209,BB209)))</f>
        <v>62110</v>
      </c>
      <c r="BD209" s="33" t="str">
        <f t="shared" si="23"/>
        <v>No Change</v>
      </c>
      <c r="BF209" s="33">
        <f t="shared" si="24"/>
        <v>1</v>
      </c>
      <c r="BG209" s="33">
        <f t="shared" si="25"/>
        <v>31</v>
      </c>
      <c r="BH209" s="33">
        <f t="shared" si="26"/>
        <v>30</v>
      </c>
      <c r="BI209" s="74">
        <f t="shared" si="27"/>
        <v>73051</v>
      </c>
      <c r="BJ209" s="33">
        <f t="shared" si="28"/>
        <v>0</v>
      </c>
      <c r="BK209" s="33">
        <f t="shared" si="29"/>
        <v>0</v>
      </c>
      <c r="BL209" s="33">
        <f t="shared" si="30"/>
        <v>0</v>
      </c>
      <c r="BM209" s="33">
        <f t="shared" si="31"/>
        <v>0</v>
      </c>
      <c r="BN209" s="59">
        <f t="shared" si="32"/>
        <v>73051</v>
      </c>
      <c r="BO209" s="33">
        <f t="shared" si="33"/>
        <v>0</v>
      </c>
      <c r="BP209" s="33">
        <f t="shared" si="34"/>
        <v>0</v>
      </c>
      <c r="BQ209" s="33">
        <f t="shared" si="35"/>
        <v>0</v>
      </c>
      <c r="BR209" s="33">
        <f t="shared" si="36"/>
        <v>0</v>
      </c>
    </row>
    <row r="210" spans="32:72" ht="22.5" hidden="1" customHeight="1" thickBot="1">
      <c r="AF210" s="246">
        <f t="shared" si="11"/>
        <v>1</v>
      </c>
      <c r="AG210" s="100">
        <v>6</v>
      </c>
      <c r="AH210" s="92">
        <f t="shared" si="12"/>
        <v>1</v>
      </c>
      <c r="AI210" s="93">
        <f t="shared" si="13"/>
        <v>1</v>
      </c>
      <c r="AJ210" s="93">
        <f t="shared" si="14"/>
        <v>1</v>
      </c>
      <c r="AK210" s="93">
        <f t="shared" si="15"/>
        <v>2100</v>
      </c>
      <c r="AL210" s="93" t="str">
        <f t="shared" si="16"/>
        <v>Jan, 2100</v>
      </c>
      <c r="AM210" s="93">
        <f t="shared" si="17"/>
        <v>1000</v>
      </c>
      <c r="AN210" s="101">
        <f t="shared" si="18"/>
        <v>30</v>
      </c>
      <c r="AO210" s="95">
        <f>IF($AH210=1,AO209,IF(AND($AH210=4,AN209+1&gt;=AN210),VLOOKUP(AT209,BP$114:BR$194,2,0),IF(AND($AH210=4,AN209+1&lt;AN210),VLOOKUP(AN210,BO$114:BR$194,2,0),IF(AND($AH210&gt;1,$AH210&lt;7),VLOOKUP(AT209,BP$114:BR$194,2,0),0))))</f>
        <v>38130</v>
      </c>
      <c r="AP210" s="86">
        <f>VLOOKUP(AT210,BP$114:BT$194,5,0)</f>
        <v>39</v>
      </c>
      <c r="AQ210" s="275">
        <f t="shared" si="37"/>
        <v>0</v>
      </c>
      <c r="AR210" s="95">
        <f>IF(AND($AH210=8,AN209+1=AN210),VLOOKUP(AN210,BO$114:BQ$194,3,0),IF(AND($AH210=8,AN209+2=AN210),VLOOKUP(AN210,BO$114:BQ$194,2,0),IF(AND($AH210=8,AN209+2&lt;AN210),VLOOKUP(AN210,BO$114:BQ$194,2,0),IF($AH210=8,VLOOKUP(AT209,BP$114:BR$194,3,0),0))))</f>
        <v>0</v>
      </c>
      <c r="AS210" s="103">
        <f>IF(AND(AH210=9,AN208+2=AN209),VLOOKUP(AT209,$BP$114:$BR$194,2,0),IF(AH210=9,VLOOKUP(AT209,$BP$114:$BR$194,3,0),0))</f>
        <v>0</v>
      </c>
      <c r="AT210" s="104">
        <f>IF(AH210&lt;7,AO210,IF(AH210=7,AQ210,IF(AH210=8,AR210,AS210)))</f>
        <v>38130</v>
      </c>
      <c r="AU210" s="90">
        <f t="shared" si="19"/>
        <v>73051</v>
      </c>
      <c r="AV210" s="102"/>
      <c r="AW210" s="105">
        <f t="shared" si="20"/>
        <v>38</v>
      </c>
      <c r="AX210" s="95">
        <f>IF($AH210=1,AX209,IF(AND($AH210=4,AW209+1&gt;=AW210),VLOOKUP(BC209,BX$114:BZ$194,2,0),IF(AND($AH210=4,AW209+1&lt;AW210),VLOOKUP(AW210,BW$114:BZ$194,2,0),IF(AND($AH210&gt;1,$AH210&lt;7),VLOOKUP(BC209,BX$114:BZ$194,2,0),0))))</f>
        <v>62110</v>
      </c>
      <c r="AY210" s="86">
        <f t="shared" si="21"/>
        <v>43</v>
      </c>
      <c r="AZ210" s="275">
        <f t="shared" si="22"/>
        <v>0</v>
      </c>
      <c r="BA210" s="95">
        <f>IF(AND($AH210=8,AW209+1=AW210),VLOOKUP(AW210,BW$114:BY$194,3,0),IF(AND($AH210=8,AW209+2=AW210),VLOOKUP(AW210,BW$114:BY$194,2,0),IF(AND($AH210=8,AW209+2&lt;AW210),VLOOKUP(AW210,BW$114:BY$194,2,0),IF($AH210=8,VLOOKUP(BC209,BX$114:BZ$194,3,0),0))))</f>
        <v>0</v>
      </c>
      <c r="BB210" s="103">
        <f>IF(AND($AH210=9,AW207+2=AW209),VLOOKUP(BC209,BX$114:BZ$194,2,0),IF($AH210=9,VLOOKUP(BC209,BX$114:BZ$194,3,0),0))</f>
        <v>0</v>
      </c>
      <c r="BC210" s="99">
        <f>IF(AH210&lt;7,AX210,IF(AH210=7,AZ210,IF(AH210=8,BA210,BB210)))</f>
        <v>62110</v>
      </c>
      <c r="BD210" s="33" t="str">
        <f t="shared" si="23"/>
        <v>No Change</v>
      </c>
      <c r="BF210" s="33">
        <f t="shared" si="24"/>
        <v>1</v>
      </c>
      <c r="BG210" s="33">
        <f t="shared" si="25"/>
        <v>31</v>
      </c>
      <c r="BH210" s="33">
        <f t="shared" si="26"/>
        <v>30</v>
      </c>
      <c r="BI210" s="74">
        <f t="shared" si="27"/>
        <v>73051</v>
      </c>
      <c r="BJ210" s="33">
        <f t="shared" si="28"/>
        <v>0</v>
      </c>
      <c r="BK210" s="33">
        <f t="shared" si="29"/>
        <v>0</v>
      </c>
      <c r="BL210" s="33">
        <f t="shared" si="30"/>
        <v>0</v>
      </c>
      <c r="BM210" s="33">
        <f t="shared" si="31"/>
        <v>0</v>
      </c>
      <c r="BN210" s="59">
        <f t="shared" si="32"/>
        <v>73051</v>
      </c>
      <c r="BO210" s="33">
        <f t="shared" si="33"/>
        <v>0</v>
      </c>
      <c r="BP210" s="33">
        <f t="shared" si="34"/>
        <v>0</v>
      </c>
      <c r="BQ210" s="33">
        <f t="shared" si="35"/>
        <v>0</v>
      </c>
      <c r="BR210" s="33">
        <f t="shared" si="36"/>
        <v>0</v>
      </c>
    </row>
    <row r="211" spans="32:72" ht="22.5" hidden="1" customHeight="1" thickBot="1">
      <c r="BE211" s="33" t="str">
        <f>E38</f>
        <v>No CCA</v>
      </c>
      <c r="BF211" s="33" t="str">
        <f>N38</f>
        <v>GHMC</v>
      </c>
      <c r="BJ211" s="33" t="s">
        <v>170</v>
      </c>
    </row>
    <row r="212" spans="32:72" ht="22.5" hidden="1" customHeight="1" thickBot="1">
      <c r="BE212" s="33">
        <f>VLOOKUP(BE211,AV113:AW115,2,0)</f>
        <v>1</v>
      </c>
      <c r="BF212" s="33">
        <f>VLOOKUP(BF211,AV113:AW115,2,0)</f>
        <v>2</v>
      </c>
      <c r="BI212" s="315" t="s">
        <v>453</v>
      </c>
      <c r="BJ212" s="279">
        <f>IF(AM199&lt;3,BM215,VLOOKUP(AM204,AR215:BN226,22,0))</f>
        <v>0</v>
      </c>
      <c r="BT212" s="33">
        <f>VLOOKUP(BT205,AQ215:AR287,2,0)</f>
        <v>28</v>
      </c>
    </row>
    <row r="213" spans="32:72" ht="22.5" hidden="1" customHeight="1" thickBot="1">
      <c r="AT213" s="33" t="s">
        <v>164</v>
      </c>
      <c r="AU213" s="33">
        <v>2015</v>
      </c>
      <c r="AV213" s="33">
        <v>2021</v>
      </c>
      <c r="AW213" s="57" t="s">
        <v>168</v>
      </c>
      <c r="AX213" s="59">
        <f>DATE(Q35,P35,O35)</f>
        <v>43620</v>
      </c>
      <c r="AY213" s="33">
        <f>DAY(AX213)</f>
        <v>4</v>
      </c>
      <c r="BA213" s="33" t="s">
        <v>169</v>
      </c>
      <c r="BB213" s="33">
        <f>IF(R37="Yes",1,2)</f>
        <v>2</v>
      </c>
      <c r="BD213" s="106">
        <f>DATE(H39,G39,F39)</f>
        <v>43983</v>
      </c>
      <c r="BE213" s="107">
        <f>DAY(BD213)</f>
        <v>1</v>
      </c>
      <c r="BG213" s="107">
        <f>IF(BE212=BF212,2,1)</f>
        <v>1</v>
      </c>
      <c r="BI213" s="64">
        <f>DAY(BD213-1)</f>
        <v>31</v>
      </c>
      <c r="BJ213" s="107">
        <f>DAY(EOMONTH(BD213,0))</f>
        <v>30</v>
      </c>
      <c r="BK213" s="65">
        <f>AZ218-AZ217</f>
        <v>27</v>
      </c>
      <c r="BM213" s="364" t="s">
        <v>407</v>
      </c>
      <c r="BN213" s="365"/>
      <c r="BT213" s="118">
        <f>VLOOKUP(BT206,AQ215:AR287,2,0)</f>
        <v>1000</v>
      </c>
    </row>
    <row r="214" spans="32:72" ht="22.5" hidden="1" customHeight="1" thickBot="1">
      <c r="AX214" s="108">
        <f>F35</f>
        <v>30</v>
      </c>
      <c r="AY214" s="109">
        <f>IF(I35="Yes",1,2)</f>
        <v>2</v>
      </c>
      <c r="AZ214" s="109">
        <f>IF(AY214=2,AX214,N35)</f>
        <v>30</v>
      </c>
      <c r="BA214" s="109">
        <f>IF(AX214=0,0,IF(AND(AX214=12,BB213=1),13,IF(AX214=12,AX214-1,IF(AX214=14.5,AX214-1.5,IF(AX214=20,AX214-3,AX214-6)))))</f>
        <v>24</v>
      </c>
      <c r="BB214" s="66">
        <f>IF(AZ214=0,0,IF(AND(AZ214=12,BB213=1),13,IF(AZ214=12,AZ214-1,IF(AZ214=14.5,AZ214-1.5,IF(AZ214=20,AZ214-3,AZ214-6)))))</f>
        <v>24</v>
      </c>
      <c r="BC214" s="109" t="s">
        <v>406</v>
      </c>
      <c r="BD214" s="64"/>
      <c r="BE214" s="110"/>
      <c r="BF214" s="110"/>
      <c r="BG214" s="110"/>
      <c r="BH214" s="107">
        <v>2015</v>
      </c>
      <c r="BI214" s="110"/>
      <c r="BJ214" s="110"/>
      <c r="BK214" s="110"/>
      <c r="BL214" s="107">
        <v>2021</v>
      </c>
      <c r="BM214" s="64">
        <v>2015</v>
      </c>
      <c r="BN214" s="65">
        <v>2021</v>
      </c>
      <c r="BT214" s="113">
        <f>VLOOKUP(BT207,AQ215:AR287,2,0)</f>
        <v>1000</v>
      </c>
    </row>
    <row r="215" spans="32:72" ht="22.5" hidden="1" customHeight="1" thickBot="1">
      <c r="AI215" s="33">
        <v>1</v>
      </c>
      <c r="AJ215" s="33" t="s">
        <v>296</v>
      </c>
      <c r="AK215" s="33">
        <v>7</v>
      </c>
      <c r="AL215" s="75">
        <v>2018</v>
      </c>
      <c r="AM215" s="33" t="str">
        <f t="shared" ref="AM215:AM246" si="38">CONCATENATE(AJ215,", ",AL215)</f>
        <v>Jul, 2018</v>
      </c>
      <c r="AN215" s="33">
        <v>1</v>
      </c>
      <c r="AQ215" s="59">
        <v>43282</v>
      </c>
      <c r="AR215" s="33">
        <v>1</v>
      </c>
      <c r="AT215" s="59">
        <f>DATE(AL215,AK215,1)</f>
        <v>43282</v>
      </c>
      <c r="AU215" s="33">
        <f t="shared" ref="AU215:AU246" si="39">IF(AT215&gt;=AU$210,AT$210,IF(AT215&gt;=AU$209,AT$209,IF(AT215&gt;=AU$208,AT$208,IF(AT215&gt;=AU$207,AT$207,IF(AT215&gt;=AU$206,AT$206,IF(AT215&gt;=AU$205,AT$205,IF(AT215&gt;=AU$204,AT$204,0)))))))</f>
        <v>34170</v>
      </c>
      <c r="AV215" s="33">
        <f t="shared" ref="AV215:AV246" si="40">IF(AT215&gt;=AU$210,BC$210,IF(AT215&gt;=AU$209,BC$209,IF(AT215&gt;=AU$208,BC$208,IF(AT215&gt;=AU$207,BC$207,IF(AT215&gt;=AU$206,BC$206,IF(AT215&gt;=AU$205,BC$205,IF(AT215&gt;=AU$204,BC$204,0)))))))</f>
        <v>55720</v>
      </c>
      <c r="AW215" s="33">
        <v>0</v>
      </c>
      <c r="AX215" s="111">
        <f>IF(AND(AT215&gt;=AX$213,AY$214=1),AZ$214,AX$214)</f>
        <v>30</v>
      </c>
      <c r="AY215" s="41">
        <f>IF(AND(AY$214=1,AT215=AZ$221),AZ$225,IF(AX215=30,MIN(ROUND(AU215*AX215%,0.1),20000),MIN(ROUND(AU215*AX215%,0.1),15000)))</f>
        <v>10251</v>
      </c>
      <c r="AZ215" s="41"/>
      <c r="BA215" s="41">
        <f t="shared" ref="BA215:BA222" si="41">IF(AND(AT215&gt;=AX$213,AY$214=1),BB$214,BA$214)</f>
        <v>24</v>
      </c>
      <c r="BB215" s="67">
        <f>IF(AND(AY$214=1,AT215=AZ$221),AZ$230,ROUND(AV215*BA215%,0.1))</f>
        <v>13373</v>
      </c>
      <c r="BC215" s="33">
        <v>30.391999999999999</v>
      </c>
      <c r="BD215" s="111">
        <f t="shared" ref="BD215:BD246" si="42">IF(AND(AT215&gt;=BD$213,BG$213=1),BF$212,BE$212)</f>
        <v>1</v>
      </c>
      <c r="BE215" s="112">
        <v>13000</v>
      </c>
      <c r="BF215" s="41">
        <v>400</v>
      </c>
      <c r="BG215" s="41">
        <v>200</v>
      </c>
      <c r="BH215" s="113">
        <f>IF(BD215=1,0,IF(BD215=2,VLOOKUP(AU215,BE$215:BG$295,2,0),VLOOKUP(AU215,BE$215:BG$295,3,0)))</f>
        <v>0</v>
      </c>
      <c r="BI215" s="114">
        <v>19000</v>
      </c>
      <c r="BJ215" s="41">
        <v>600</v>
      </c>
      <c r="BK215" s="41">
        <v>300</v>
      </c>
      <c r="BL215" s="113">
        <f t="shared" ref="BL215:BL246" si="43">IF(BD215=1,0,IF(BD215=2,VLOOKUP(AV215,BI$215:BK$295,2,0),VLOOKUP(AV215,BI$215:BK$295,3,0)))</f>
        <v>0</v>
      </c>
      <c r="BM215" s="111">
        <f>IF(BH215=BH216,BH215,ROUND(BH215*BI$213/BJ$213,0.1)+ROUND(BH216*BK$213/BJ$213,0.1))</f>
        <v>0</v>
      </c>
      <c r="BN215" s="67">
        <f>IF(BL215=BL216,BL215,ROUND(BL215*BI$213/BJ$213,0.1)+ROUND(BL216*BK$213/BJ$213,0.1))</f>
        <v>0</v>
      </c>
      <c r="BT215" s="307">
        <f>IF(AND(BT213=1000,BT214=1000),1000,IF(BT214=1000,BT213,BT214))</f>
        <v>1000</v>
      </c>
    </row>
    <row r="216" spans="32:72" ht="22.5" hidden="1" customHeight="1" thickBot="1">
      <c r="AI216" s="33">
        <f>AI215+1</f>
        <v>2</v>
      </c>
      <c r="AJ216" s="33" t="s">
        <v>297</v>
      </c>
      <c r="AK216" s="33">
        <v>8</v>
      </c>
      <c r="AL216" s="75">
        <v>2018</v>
      </c>
      <c r="AM216" s="33" t="str">
        <f t="shared" si="38"/>
        <v>Aug, 2018</v>
      </c>
      <c r="AN216" s="33">
        <f>AN215+1</f>
        <v>2</v>
      </c>
      <c r="AQ216" s="59">
        <v>43313</v>
      </c>
      <c r="AR216" s="33">
        <f>AR215+1</f>
        <v>2</v>
      </c>
      <c r="AT216" s="59">
        <f t="shared" ref="AT216:AT279" si="44">DATE(AL216,AK216,1)</f>
        <v>43313</v>
      </c>
      <c r="AU216" s="33">
        <f t="shared" si="39"/>
        <v>34170</v>
      </c>
      <c r="AV216" s="33">
        <f t="shared" si="40"/>
        <v>55720</v>
      </c>
      <c r="AW216" s="33">
        <v>0</v>
      </c>
      <c r="AX216" s="111">
        <f>IF(AND(AT216&gt;=AX$213,AY$214=1),AZ$214,AX$214)</f>
        <v>30</v>
      </c>
      <c r="AY216" s="41">
        <f t="shared" ref="AY216:AY231" si="45">IF(AND(AY$214=1,AT216=AZ$221),AZ$225,IF(AX216=30,MIN(ROUND(AU216*AX216%,0.1),20000),MIN(ROUND(AU216*AX216%,0.1),15000)))</f>
        <v>10251</v>
      </c>
      <c r="AZ216" s="107">
        <f>IF(AND(AY214=1,AY213&gt;1),2,1)</f>
        <v>1</v>
      </c>
      <c r="BA216" s="41">
        <f t="shared" si="41"/>
        <v>24</v>
      </c>
      <c r="BB216" s="67">
        <f>IF(AND(AY$214=1,AT216=AZ$221),AZ$230,ROUND(AV216*BA216%,0.1))</f>
        <v>13373</v>
      </c>
      <c r="BC216" s="33">
        <v>30.391999999999999</v>
      </c>
      <c r="BD216" s="111">
        <f t="shared" si="42"/>
        <v>1</v>
      </c>
      <c r="BE216" s="112">
        <v>13390</v>
      </c>
      <c r="BF216" s="41">
        <v>400</v>
      </c>
      <c r="BG216" s="41">
        <v>200</v>
      </c>
      <c r="BH216" s="113">
        <f t="shared" ref="BH216:BH246" si="46">IF(BD216=1,0,IF(BD216=2,VLOOKUP(AU216,BE$215:BG$295,2,0),VLOOKUP(AU216,BE$215:BG$295,3,0)))</f>
        <v>0</v>
      </c>
      <c r="BI216" s="114">
        <v>19640</v>
      </c>
      <c r="BJ216" s="41">
        <v>600</v>
      </c>
      <c r="BK216" s="41">
        <v>300</v>
      </c>
      <c r="BL216" s="113">
        <f t="shared" si="43"/>
        <v>0</v>
      </c>
      <c r="BM216" s="111">
        <f>IF(BH216=BH217,BH216,ROUND(BH216*BI$213/BJ$213,0.1)+ROUND(BH217*BK$213/BJ$213,0.1))</f>
        <v>0</v>
      </c>
      <c r="BN216" s="67">
        <f t="shared" ref="BN216:BN279" si="47">IF(BL216=BL217,BL216,ROUND(BL216*BI$213/BJ$213,0.1)+ROUND(BL217*BK$213/BJ$213,0.1))</f>
        <v>0</v>
      </c>
    </row>
    <row r="217" spans="32:72" ht="22.5" hidden="1" customHeight="1" thickBot="1">
      <c r="AI217" s="33">
        <f t="shared" ref="AI217:AI280" si="48">AI216+1</f>
        <v>3</v>
      </c>
      <c r="AJ217" s="33" t="s">
        <v>298</v>
      </c>
      <c r="AK217" s="33">
        <v>9</v>
      </c>
      <c r="AL217" s="75">
        <v>2018</v>
      </c>
      <c r="AM217" s="33" t="str">
        <f t="shared" si="38"/>
        <v>Sep, 2018</v>
      </c>
      <c r="AN217" s="33">
        <f t="shared" ref="AN217:AN280" si="49">AN216+1</f>
        <v>3</v>
      </c>
      <c r="AQ217" s="59">
        <v>43344</v>
      </c>
      <c r="AR217" s="33">
        <f t="shared" ref="AR217:AR280" si="50">AR216+1</f>
        <v>3</v>
      </c>
      <c r="AT217" s="59">
        <f>DATE(AL217,AK217,1)</f>
        <v>43344</v>
      </c>
      <c r="AU217" s="33">
        <f t="shared" si="39"/>
        <v>34170</v>
      </c>
      <c r="AV217" s="33">
        <f t="shared" si="40"/>
        <v>55720</v>
      </c>
      <c r="AW217" s="33">
        <v>0</v>
      </c>
      <c r="AX217" s="111">
        <f>IF(AND(AT217&gt;=AX$213,AY$214=1),AZ$214,AX$214)</f>
        <v>30</v>
      </c>
      <c r="AY217" s="41">
        <f t="shared" si="45"/>
        <v>10251</v>
      </c>
      <c r="AZ217" s="107">
        <f>DAY(AX213-1)</f>
        <v>3</v>
      </c>
      <c r="BA217" s="41">
        <f t="shared" si="41"/>
        <v>24</v>
      </c>
      <c r="BB217" s="67">
        <f t="shared" ref="BB217:BB280" si="51">IF(AND(AY$214=1,AT217=AZ$221),AZ$230,ROUND(AV217*BA217%,0.1))</f>
        <v>13373</v>
      </c>
      <c r="BC217" s="33">
        <v>30.391999999999999</v>
      </c>
      <c r="BD217" s="111">
        <f t="shared" si="42"/>
        <v>1</v>
      </c>
      <c r="BE217" s="112">
        <v>13780</v>
      </c>
      <c r="BF217" s="41">
        <v>400</v>
      </c>
      <c r="BG217" s="41">
        <v>200</v>
      </c>
      <c r="BH217" s="113">
        <f t="shared" si="46"/>
        <v>0</v>
      </c>
      <c r="BI217" s="114">
        <v>20280</v>
      </c>
      <c r="BJ217" s="41">
        <v>600</v>
      </c>
      <c r="BK217" s="41">
        <v>300</v>
      </c>
      <c r="BL217" s="113">
        <f t="shared" si="43"/>
        <v>0</v>
      </c>
      <c r="BM217" s="111">
        <f>IF(BH217=BH218,BH217,ROUND(BH217*BI$213/BJ$213,0.1)+ROUND(BH218*BK$213/BJ$213,0.1))</f>
        <v>0</v>
      </c>
      <c r="BN217" s="67">
        <f t="shared" si="47"/>
        <v>0</v>
      </c>
    </row>
    <row r="218" spans="32:72" ht="22.5" hidden="1" customHeight="1" thickBot="1">
      <c r="AI218" s="33">
        <f t="shared" si="48"/>
        <v>4</v>
      </c>
      <c r="AJ218" s="33" t="s">
        <v>299</v>
      </c>
      <c r="AK218" s="33">
        <v>10</v>
      </c>
      <c r="AL218" s="75">
        <v>2018</v>
      </c>
      <c r="AM218" s="33" t="str">
        <f t="shared" si="38"/>
        <v>Oct, 2018</v>
      </c>
      <c r="AN218" s="33">
        <f t="shared" si="49"/>
        <v>4</v>
      </c>
      <c r="AQ218" s="59">
        <v>43374</v>
      </c>
      <c r="AR218" s="33">
        <f t="shared" si="50"/>
        <v>4</v>
      </c>
      <c r="AT218" s="59">
        <f t="shared" si="44"/>
        <v>43374</v>
      </c>
      <c r="AU218" s="33">
        <f t="shared" si="39"/>
        <v>35120</v>
      </c>
      <c r="AV218" s="33">
        <f t="shared" si="40"/>
        <v>57220</v>
      </c>
      <c r="AW218" s="33">
        <v>0</v>
      </c>
      <c r="AX218" s="111">
        <f>IF(AND(AT218&gt;=AX$213,AY$214=1),AZ$214,AX$214)</f>
        <v>30</v>
      </c>
      <c r="AY218" s="41">
        <f t="shared" si="45"/>
        <v>10536</v>
      </c>
      <c r="AZ218" s="107">
        <f>DAY(EOMONTH(AX213,0))</f>
        <v>30</v>
      </c>
      <c r="BA218" s="41">
        <f t="shared" si="41"/>
        <v>24</v>
      </c>
      <c r="BB218" s="67">
        <f t="shared" si="51"/>
        <v>13733</v>
      </c>
      <c r="BC218" s="33">
        <v>30.391999999999999</v>
      </c>
      <c r="BD218" s="111">
        <f t="shared" si="42"/>
        <v>1</v>
      </c>
      <c r="BE218" s="112">
        <v>14170</v>
      </c>
      <c r="BF218" s="41">
        <v>400</v>
      </c>
      <c r="BG218" s="41">
        <v>200</v>
      </c>
      <c r="BH218" s="113">
        <f t="shared" si="46"/>
        <v>0</v>
      </c>
      <c r="BI218" s="115">
        <v>20920</v>
      </c>
      <c r="BJ218" s="41">
        <v>600</v>
      </c>
      <c r="BK218" s="41">
        <v>300</v>
      </c>
      <c r="BL218" s="113">
        <f t="shared" si="43"/>
        <v>0</v>
      </c>
      <c r="BM218" s="111">
        <f>IF(BH218=BH219,BH218,ROUND(BH218*BI$213/BJ$213,0.1)+ROUND(BH219*BK$213/BJ$213,0.1))</f>
        <v>0</v>
      </c>
      <c r="BN218" s="67">
        <f t="shared" si="47"/>
        <v>0</v>
      </c>
    </row>
    <row r="219" spans="32:72" ht="22.5" hidden="1" customHeight="1" thickBot="1">
      <c r="AI219" s="33">
        <f t="shared" si="48"/>
        <v>5</v>
      </c>
      <c r="AJ219" s="33" t="s">
        <v>300</v>
      </c>
      <c r="AK219" s="33">
        <v>11</v>
      </c>
      <c r="AL219" s="75">
        <v>2018</v>
      </c>
      <c r="AM219" s="33" t="str">
        <f t="shared" si="38"/>
        <v>Nov, 2018</v>
      </c>
      <c r="AN219" s="33">
        <f t="shared" si="49"/>
        <v>5</v>
      </c>
      <c r="AQ219" s="59">
        <v>43405</v>
      </c>
      <c r="AR219" s="33">
        <f t="shared" si="50"/>
        <v>5</v>
      </c>
      <c r="AT219" s="59">
        <f t="shared" si="44"/>
        <v>43405</v>
      </c>
      <c r="AU219" s="33">
        <f t="shared" si="39"/>
        <v>35120</v>
      </c>
      <c r="AV219" s="33">
        <f t="shared" si="40"/>
        <v>57220</v>
      </c>
      <c r="AW219" s="33">
        <v>0</v>
      </c>
      <c r="AX219" s="111">
        <f>IF(AND(AT219&gt;=AX$213,AY$214=1),AZ$214,AX$214)</f>
        <v>30</v>
      </c>
      <c r="AY219" s="41">
        <f t="shared" si="45"/>
        <v>10536</v>
      </c>
      <c r="AZ219" s="107">
        <f>AZ218-AZ217</f>
        <v>27</v>
      </c>
      <c r="BA219" s="41">
        <f t="shared" si="41"/>
        <v>24</v>
      </c>
      <c r="BB219" s="67">
        <f t="shared" si="51"/>
        <v>13733</v>
      </c>
      <c r="BC219" s="33">
        <v>30.391999999999999</v>
      </c>
      <c r="BD219" s="111">
        <f t="shared" si="42"/>
        <v>1</v>
      </c>
      <c r="BE219" s="112">
        <v>14600</v>
      </c>
      <c r="BF219" s="41">
        <v>400</v>
      </c>
      <c r="BG219" s="41">
        <v>200</v>
      </c>
      <c r="BH219" s="113">
        <f t="shared" si="46"/>
        <v>0</v>
      </c>
      <c r="BI219" s="115">
        <v>21580</v>
      </c>
      <c r="BJ219" s="41">
        <v>600</v>
      </c>
      <c r="BK219" s="41">
        <v>300</v>
      </c>
      <c r="BL219" s="113">
        <f t="shared" si="43"/>
        <v>0</v>
      </c>
      <c r="BM219" s="111">
        <f>IF(BH219=BH220,BH219,ROUND(BH219*BI$213/BJ$213,0.1)+ROUND(BH220*BK$213/BJ$213,0.1))</f>
        <v>0</v>
      </c>
      <c r="BN219" s="67">
        <f t="shared" si="47"/>
        <v>0</v>
      </c>
    </row>
    <row r="220" spans="32:72" ht="22.5" hidden="1" customHeight="1" thickBot="1">
      <c r="AI220" s="33">
        <f t="shared" si="48"/>
        <v>6</v>
      </c>
      <c r="AJ220" s="33" t="s">
        <v>301</v>
      </c>
      <c r="AK220" s="33">
        <v>12</v>
      </c>
      <c r="AL220" s="75">
        <v>2018</v>
      </c>
      <c r="AM220" s="33" t="str">
        <f t="shared" si="38"/>
        <v>Dec, 2018</v>
      </c>
      <c r="AN220" s="33">
        <f t="shared" si="49"/>
        <v>6</v>
      </c>
      <c r="AQ220" s="59">
        <v>43435</v>
      </c>
      <c r="AR220" s="33">
        <f t="shared" si="50"/>
        <v>6</v>
      </c>
      <c r="AT220" s="59">
        <f t="shared" si="44"/>
        <v>43435</v>
      </c>
      <c r="AU220" s="33">
        <f t="shared" si="39"/>
        <v>35120</v>
      </c>
      <c r="AV220" s="33">
        <f t="shared" si="40"/>
        <v>57220</v>
      </c>
      <c r="AW220" s="33">
        <v>0</v>
      </c>
      <c r="AX220" s="111">
        <f t="shared" ref="AX220:AX246" si="52">IF(AND(AT220&gt;=AX$213,AY$214=1),AZ$214,AX$214)</f>
        <v>30</v>
      </c>
      <c r="AY220" s="41">
        <f t="shared" si="45"/>
        <v>10536</v>
      </c>
      <c r="AZ220" s="41"/>
      <c r="BA220" s="41">
        <f t="shared" si="41"/>
        <v>24</v>
      </c>
      <c r="BB220" s="67">
        <f t="shared" si="51"/>
        <v>13733</v>
      </c>
      <c r="BC220" s="33">
        <v>30.391999999999999</v>
      </c>
      <c r="BD220" s="111">
        <f t="shared" si="42"/>
        <v>1</v>
      </c>
      <c r="BE220" s="112">
        <v>15030</v>
      </c>
      <c r="BF220" s="41">
        <v>400</v>
      </c>
      <c r="BG220" s="41">
        <v>200</v>
      </c>
      <c r="BH220" s="113">
        <f t="shared" si="46"/>
        <v>0</v>
      </c>
      <c r="BI220" s="115">
        <v>22240</v>
      </c>
      <c r="BJ220" s="41">
        <v>600</v>
      </c>
      <c r="BK220" s="41">
        <v>300</v>
      </c>
      <c r="BL220" s="113">
        <f t="shared" si="43"/>
        <v>0</v>
      </c>
      <c r="BM220" s="111">
        <f t="shared" ref="BM220:BM279" si="53">IF(BH220=BH221,BH220,ROUND(BH220*BI$213/BJ$213,0.1)+ROUND(BH221*BK$213/BJ$213,0.1))</f>
        <v>0</v>
      </c>
      <c r="BN220" s="67">
        <f t="shared" si="47"/>
        <v>0</v>
      </c>
    </row>
    <row r="221" spans="32:72" ht="22.5" hidden="1" customHeight="1">
      <c r="AI221" s="33">
        <f t="shared" si="48"/>
        <v>7</v>
      </c>
      <c r="AJ221" s="33" t="s">
        <v>302</v>
      </c>
      <c r="AK221" s="33">
        <v>1</v>
      </c>
      <c r="AL221" s="75">
        <v>2019</v>
      </c>
      <c r="AM221" s="33" t="str">
        <f t="shared" si="38"/>
        <v>Jan, 2019</v>
      </c>
      <c r="AN221" s="33">
        <f t="shared" si="49"/>
        <v>7</v>
      </c>
      <c r="AQ221" s="59">
        <v>43466</v>
      </c>
      <c r="AR221" s="33">
        <f t="shared" si="50"/>
        <v>7</v>
      </c>
      <c r="AT221" s="59">
        <f t="shared" si="44"/>
        <v>43466</v>
      </c>
      <c r="AU221" s="33">
        <f t="shared" si="39"/>
        <v>35120</v>
      </c>
      <c r="AV221" s="33">
        <f t="shared" si="40"/>
        <v>57220</v>
      </c>
      <c r="AW221" s="33">
        <v>2.73</v>
      </c>
      <c r="AX221" s="111">
        <f t="shared" si="52"/>
        <v>30</v>
      </c>
      <c r="AY221" s="41">
        <f t="shared" si="45"/>
        <v>10536</v>
      </c>
      <c r="AZ221" s="116">
        <f>IF(AND(AY214=1,AY213=1),DATE(2100,1,1),IF(AY214=2,DATE(2100,1,1),DATE(Q35,P35,1)))</f>
        <v>73051</v>
      </c>
      <c r="BA221" s="41">
        <f t="shared" si="41"/>
        <v>24</v>
      </c>
      <c r="BB221" s="67">
        <f t="shared" si="51"/>
        <v>13733</v>
      </c>
      <c r="BC221" s="33">
        <v>33.536000000000001</v>
      </c>
      <c r="BD221" s="111">
        <f t="shared" si="42"/>
        <v>1</v>
      </c>
      <c r="BE221" s="112">
        <v>15460</v>
      </c>
      <c r="BF221" s="41">
        <v>400</v>
      </c>
      <c r="BG221" s="41">
        <v>200</v>
      </c>
      <c r="BH221" s="113">
        <f t="shared" si="46"/>
        <v>0</v>
      </c>
      <c r="BI221" s="115">
        <v>22900</v>
      </c>
      <c r="BJ221" s="41">
        <v>600</v>
      </c>
      <c r="BK221" s="41">
        <v>300</v>
      </c>
      <c r="BL221" s="113">
        <f t="shared" si="43"/>
        <v>0</v>
      </c>
      <c r="BM221" s="111">
        <f t="shared" si="53"/>
        <v>0</v>
      </c>
      <c r="BN221" s="67">
        <f t="shared" si="47"/>
        <v>0</v>
      </c>
    </row>
    <row r="222" spans="32:72" ht="22.5" hidden="1" customHeight="1">
      <c r="AI222" s="33">
        <f t="shared" si="48"/>
        <v>8</v>
      </c>
      <c r="AJ222" s="33" t="s">
        <v>303</v>
      </c>
      <c r="AK222" s="33">
        <v>2</v>
      </c>
      <c r="AL222" s="75">
        <v>2019</v>
      </c>
      <c r="AM222" s="33" t="str">
        <f t="shared" si="38"/>
        <v>Feb, 2019</v>
      </c>
      <c r="AN222" s="33">
        <f t="shared" si="49"/>
        <v>8</v>
      </c>
      <c r="AQ222" s="59">
        <v>43497</v>
      </c>
      <c r="AR222" s="33">
        <f t="shared" si="50"/>
        <v>8</v>
      </c>
      <c r="AT222" s="59">
        <f t="shared" si="44"/>
        <v>43497</v>
      </c>
      <c r="AU222" s="33">
        <f t="shared" si="39"/>
        <v>35120</v>
      </c>
      <c r="AV222" s="33">
        <f t="shared" si="40"/>
        <v>57220</v>
      </c>
      <c r="AW222" s="33">
        <v>2.73</v>
      </c>
      <c r="AX222" s="111">
        <f t="shared" si="52"/>
        <v>30</v>
      </c>
      <c r="AY222" s="41">
        <f t="shared" si="45"/>
        <v>10536</v>
      </c>
      <c r="AZ222" s="113" t="e">
        <f>VLOOKUP(AZ221,AT215:AV286,2,0)</f>
        <v>#N/A</v>
      </c>
      <c r="BA222" s="41">
        <f t="shared" si="41"/>
        <v>24</v>
      </c>
      <c r="BB222" s="67">
        <f t="shared" si="51"/>
        <v>13733</v>
      </c>
      <c r="BC222" s="33">
        <v>33.536000000000001</v>
      </c>
      <c r="BD222" s="111">
        <f t="shared" si="42"/>
        <v>1</v>
      </c>
      <c r="BE222" s="112">
        <v>15930</v>
      </c>
      <c r="BF222" s="41">
        <v>400</v>
      </c>
      <c r="BG222" s="41">
        <v>200</v>
      </c>
      <c r="BH222" s="113">
        <f t="shared" si="46"/>
        <v>0</v>
      </c>
      <c r="BI222" s="115">
        <v>23590</v>
      </c>
      <c r="BJ222" s="41">
        <v>600</v>
      </c>
      <c r="BK222" s="41">
        <v>300</v>
      </c>
      <c r="BL222" s="113">
        <f t="shared" si="43"/>
        <v>0</v>
      </c>
      <c r="BM222" s="111">
        <f t="shared" si="53"/>
        <v>0</v>
      </c>
      <c r="BN222" s="67">
        <f t="shared" si="47"/>
        <v>0</v>
      </c>
    </row>
    <row r="223" spans="32:72" ht="22.5" hidden="1" customHeight="1">
      <c r="AI223" s="33">
        <f t="shared" si="48"/>
        <v>9</v>
      </c>
      <c r="AJ223" s="33" t="s">
        <v>304</v>
      </c>
      <c r="AK223" s="33">
        <v>3</v>
      </c>
      <c r="AL223" s="75">
        <v>2019</v>
      </c>
      <c r="AM223" s="33" t="str">
        <f t="shared" si="38"/>
        <v>Mar, 2019</v>
      </c>
      <c r="AN223" s="33">
        <f t="shared" si="49"/>
        <v>9</v>
      </c>
      <c r="AQ223" s="59">
        <v>43525</v>
      </c>
      <c r="AR223" s="33">
        <f t="shared" si="50"/>
        <v>9</v>
      </c>
      <c r="AT223" s="59">
        <f t="shared" si="44"/>
        <v>43525</v>
      </c>
      <c r="AU223" s="33">
        <f t="shared" si="39"/>
        <v>35120</v>
      </c>
      <c r="AV223" s="33">
        <f t="shared" si="40"/>
        <v>57220</v>
      </c>
      <c r="AW223" s="33">
        <v>2.73</v>
      </c>
      <c r="AX223" s="111">
        <f t="shared" si="52"/>
        <v>30</v>
      </c>
      <c r="AY223" s="41">
        <f t="shared" si="45"/>
        <v>10536</v>
      </c>
      <c r="AZ223" s="113" t="e">
        <f>ROUND((AZ222*AZ217/AZ218)*AX214%,0.1)</f>
        <v>#N/A</v>
      </c>
      <c r="BA223" s="41">
        <f t="shared" ref="BA223:BA279" si="54">IF(AND(AT223&gt;=AX$213,AY$214=1),BB$214,BA$214)</f>
        <v>24</v>
      </c>
      <c r="BB223" s="67">
        <f t="shared" si="51"/>
        <v>13733</v>
      </c>
      <c r="BC223" s="33">
        <v>33.536000000000001</v>
      </c>
      <c r="BD223" s="111">
        <f t="shared" si="42"/>
        <v>1</v>
      </c>
      <c r="BE223" s="112">
        <v>16400</v>
      </c>
      <c r="BF223" s="41">
        <v>400</v>
      </c>
      <c r="BG223" s="41">
        <v>200</v>
      </c>
      <c r="BH223" s="113">
        <f t="shared" si="46"/>
        <v>0</v>
      </c>
      <c r="BI223" s="115">
        <v>24280</v>
      </c>
      <c r="BJ223" s="41">
        <v>600</v>
      </c>
      <c r="BK223" s="41">
        <v>300</v>
      </c>
      <c r="BL223" s="113">
        <f t="shared" si="43"/>
        <v>0</v>
      </c>
      <c r="BM223" s="111">
        <f t="shared" si="53"/>
        <v>0</v>
      </c>
      <c r="BN223" s="67">
        <f t="shared" si="47"/>
        <v>0</v>
      </c>
    </row>
    <row r="224" spans="32:72" ht="22.5" hidden="1" customHeight="1">
      <c r="AI224" s="33">
        <f t="shared" si="48"/>
        <v>10</v>
      </c>
      <c r="AJ224" s="33" t="s">
        <v>305</v>
      </c>
      <c r="AK224" s="33">
        <v>4</v>
      </c>
      <c r="AL224" s="75">
        <v>2019</v>
      </c>
      <c r="AM224" s="33" t="str">
        <f t="shared" si="38"/>
        <v>Apr, 2019</v>
      </c>
      <c r="AN224" s="33">
        <f t="shared" si="49"/>
        <v>10</v>
      </c>
      <c r="AQ224" s="59">
        <v>43556</v>
      </c>
      <c r="AR224" s="33">
        <f t="shared" si="50"/>
        <v>10</v>
      </c>
      <c r="AT224" s="59">
        <f t="shared" si="44"/>
        <v>43556</v>
      </c>
      <c r="AU224" s="33">
        <f t="shared" si="39"/>
        <v>35120</v>
      </c>
      <c r="AV224" s="33">
        <f t="shared" si="40"/>
        <v>57220</v>
      </c>
      <c r="AW224" s="33">
        <v>2.73</v>
      </c>
      <c r="AX224" s="111">
        <f t="shared" si="52"/>
        <v>30</v>
      </c>
      <c r="AY224" s="41">
        <f t="shared" si="45"/>
        <v>10536</v>
      </c>
      <c r="AZ224" s="113" t="e">
        <f>ROUND((AZ222*AZ219/AZ218)*AZ214%,0.1)</f>
        <v>#N/A</v>
      </c>
      <c r="BA224" s="41">
        <f t="shared" si="54"/>
        <v>24</v>
      </c>
      <c r="BB224" s="67">
        <f t="shared" si="51"/>
        <v>13733</v>
      </c>
      <c r="BC224" s="33">
        <v>33.536000000000001</v>
      </c>
      <c r="BD224" s="111">
        <f t="shared" si="42"/>
        <v>1</v>
      </c>
      <c r="BE224" s="112">
        <v>16870</v>
      </c>
      <c r="BF224" s="41">
        <v>600</v>
      </c>
      <c r="BG224" s="41">
        <v>300</v>
      </c>
      <c r="BH224" s="113">
        <f t="shared" si="46"/>
        <v>0</v>
      </c>
      <c r="BI224" s="115">
        <v>24970</v>
      </c>
      <c r="BJ224" s="41">
        <v>850</v>
      </c>
      <c r="BK224" s="41">
        <v>450</v>
      </c>
      <c r="BL224" s="113">
        <f t="shared" si="43"/>
        <v>0</v>
      </c>
      <c r="BM224" s="111">
        <f t="shared" si="53"/>
        <v>0</v>
      </c>
      <c r="BN224" s="67">
        <f t="shared" si="47"/>
        <v>0</v>
      </c>
    </row>
    <row r="225" spans="35:66" ht="22.5" hidden="1" customHeight="1" thickBot="1">
      <c r="AI225" s="33">
        <f t="shared" si="48"/>
        <v>11</v>
      </c>
      <c r="AJ225" s="33" t="s">
        <v>306</v>
      </c>
      <c r="AK225" s="33">
        <v>5</v>
      </c>
      <c r="AL225" s="75">
        <v>2019</v>
      </c>
      <c r="AM225" s="33" t="str">
        <f t="shared" si="38"/>
        <v>May, 2019</v>
      </c>
      <c r="AN225" s="33">
        <f t="shared" si="49"/>
        <v>11</v>
      </c>
      <c r="AQ225" s="59">
        <v>43586</v>
      </c>
      <c r="AR225" s="33">
        <f t="shared" si="50"/>
        <v>11</v>
      </c>
      <c r="AT225" s="59">
        <f t="shared" si="44"/>
        <v>43586</v>
      </c>
      <c r="AU225" s="33">
        <f t="shared" si="39"/>
        <v>35120</v>
      </c>
      <c r="AV225" s="33">
        <f t="shared" si="40"/>
        <v>57220</v>
      </c>
      <c r="AW225" s="33">
        <v>2.73</v>
      </c>
      <c r="AX225" s="111">
        <f t="shared" si="52"/>
        <v>30</v>
      </c>
      <c r="AY225" s="41">
        <f t="shared" si="45"/>
        <v>10536</v>
      </c>
      <c r="AZ225" s="117" t="e">
        <f>AZ223+AZ224</f>
        <v>#N/A</v>
      </c>
      <c r="BA225" s="41">
        <f t="shared" si="54"/>
        <v>24</v>
      </c>
      <c r="BB225" s="67">
        <f t="shared" si="51"/>
        <v>13733</v>
      </c>
      <c r="BC225" s="33">
        <v>33.536000000000001</v>
      </c>
      <c r="BD225" s="111">
        <f t="shared" si="42"/>
        <v>1</v>
      </c>
      <c r="BE225" s="112">
        <v>17380</v>
      </c>
      <c r="BF225" s="41">
        <v>600</v>
      </c>
      <c r="BG225" s="41">
        <v>300</v>
      </c>
      <c r="BH225" s="113">
        <f t="shared" si="46"/>
        <v>0</v>
      </c>
      <c r="BI225" s="115">
        <v>25690</v>
      </c>
      <c r="BJ225" s="41">
        <v>850</v>
      </c>
      <c r="BK225" s="41">
        <v>450</v>
      </c>
      <c r="BL225" s="113">
        <f t="shared" si="43"/>
        <v>0</v>
      </c>
      <c r="BM225" s="111">
        <f t="shared" si="53"/>
        <v>0</v>
      </c>
      <c r="BN225" s="67">
        <f t="shared" si="47"/>
        <v>0</v>
      </c>
    </row>
    <row r="226" spans="35:66" ht="22.5" hidden="1" customHeight="1">
      <c r="AI226" s="33">
        <f t="shared" si="48"/>
        <v>12</v>
      </c>
      <c r="AJ226" s="33" t="s">
        <v>307</v>
      </c>
      <c r="AK226" s="33">
        <v>6</v>
      </c>
      <c r="AL226" s="75">
        <v>2019</v>
      </c>
      <c r="AM226" s="33" t="str">
        <f t="shared" si="38"/>
        <v>Jun, 2019</v>
      </c>
      <c r="AN226" s="33">
        <f t="shared" si="49"/>
        <v>12</v>
      </c>
      <c r="AQ226" s="59">
        <v>43617</v>
      </c>
      <c r="AR226" s="33">
        <f t="shared" si="50"/>
        <v>12</v>
      </c>
      <c r="AT226" s="59">
        <f t="shared" si="44"/>
        <v>43617</v>
      </c>
      <c r="AU226" s="33">
        <f t="shared" si="39"/>
        <v>35120</v>
      </c>
      <c r="AV226" s="33">
        <f t="shared" si="40"/>
        <v>57220</v>
      </c>
      <c r="AW226" s="33">
        <v>2.73</v>
      </c>
      <c r="AX226" s="111">
        <f t="shared" si="52"/>
        <v>30</v>
      </c>
      <c r="AY226" s="41">
        <f t="shared" si="45"/>
        <v>10536</v>
      </c>
      <c r="AZ226" s="118"/>
      <c r="BA226" s="41">
        <f t="shared" si="54"/>
        <v>24</v>
      </c>
      <c r="BB226" s="67">
        <f t="shared" si="51"/>
        <v>13733</v>
      </c>
      <c r="BC226" s="33">
        <v>33.536000000000001</v>
      </c>
      <c r="BD226" s="111">
        <f t="shared" si="42"/>
        <v>1</v>
      </c>
      <c r="BE226" s="112">
        <v>17890</v>
      </c>
      <c r="BF226" s="41">
        <v>600</v>
      </c>
      <c r="BG226" s="41">
        <v>300</v>
      </c>
      <c r="BH226" s="113">
        <f t="shared" si="46"/>
        <v>0</v>
      </c>
      <c r="BI226" s="115">
        <v>26410</v>
      </c>
      <c r="BJ226" s="41">
        <v>850</v>
      </c>
      <c r="BK226" s="41">
        <v>450</v>
      </c>
      <c r="BL226" s="113">
        <f t="shared" si="43"/>
        <v>0</v>
      </c>
      <c r="BM226" s="111">
        <f t="shared" si="53"/>
        <v>0</v>
      </c>
      <c r="BN226" s="67">
        <f t="shared" si="47"/>
        <v>0</v>
      </c>
    </row>
    <row r="227" spans="35:66" ht="22.5" hidden="1" customHeight="1">
      <c r="AI227" s="33">
        <f t="shared" si="48"/>
        <v>13</v>
      </c>
      <c r="AJ227" s="33" t="s">
        <v>296</v>
      </c>
      <c r="AK227" s="33">
        <v>7</v>
      </c>
      <c r="AL227" s="75">
        <v>2019</v>
      </c>
      <c r="AM227" s="33" t="str">
        <f t="shared" si="38"/>
        <v>Jul, 2019</v>
      </c>
      <c r="AN227" s="33">
        <f t="shared" si="49"/>
        <v>13</v>
      </c>
      <c r="AQ227" s="59">
        <v>43647</v>
      </c>
      <c r="AR227" s="33">
        <f t="shared" si="50"/>
        <v>13</v>
      </c>
      <c r="AT227" s="59">
        <f t="shared" si="44"/>
        <v>43647</v>
      </c>
      <c r="AU227" s="33">
        <f t="shared" si="39"/>
        <v>35120</v>
      </c>
      <c r="AV227" s="33">
        <f t="shared" si="40"/>
        <v>57220</v>
      </c>
      <c r="AW227" s="33">
        <v>7.28</v>
      </c>
      <c r="AX227" s="111">
        <f t="shared" si="52"/>
        <v>30</v>
      </c>
      <c r="AY227" s="41">
        <f t="shared" si="45"/>
        <v>10536</v>
      </c>
      <c r="AZ227" s="113" t="e">
        <f>VLOOKUP(AZ221,AT215:AV286,3,0)</f>
        <v>#N/A</v>
      </c>
      <c r="BA227" s="41">
        <f t="shared" si="54"/>
        <v>24</v>
      </c>
      <c r="BB227" s="67">
        <f t="shared" si="51"/>
        <v>13733</v>
      </c>
      <c r="BC227" s="33">
        <v>38.776000000000003</v>
      </c>
      <c r="BD227" s="111">
        <f t="shared" si="42"/>
        <v>1</v>
      </c>
      <c r="BE227" s="112">
        <v>18400</v>
      </c>
      <c r="BF227" s="41">
        <v>600</v>
      </c>
      <c r="BG227" s="41">
        <v>300</v>
      </c>
      <c r="BH227" s="113">
        <f t="shared" si="46"/>
        <v>0</v>
      </c>
      <c r="BI227" s="115">
        <v>27130</v>
      </c>
      <c r="BJ227" s="41">
        <v>850</v>
      </c>
      <c r="BK227" s="41">
        <v>450</v>
      </c>
      <c r="BL227" s="113">
        <f t="shared" si="43"/>
        <v>0</v>
      </c>
      <c r="BM227" s="111">
        <f t="shared" si="53"/>
        <v>0</v>
      </c>
      <c r="BN227" s="67">
        <f t="shared" si="47"/>
        <v>0</v>
      </c>
    </row>
    <row r="228" spans="35:66" ht="22.5" hidden="1" customHeight="1">
      <c r="AI228" s="33">
        <f t="shared" si="48"/>
        <v>14</v>
      </c>
      <c r="AJ228" s="33" t="s">
        <v>297</v>
      </c>
      <c r="AK228" s="33">
        <v>8</v>
      </c>
      <c r="AL228" s="75">
        <v>2019</v>
      </c>
      <c r="AM228" s="33" t="str">
        <f t="shared" si="38"/>
        <v>Aug, 2019</v>
      </c>
      <c r="AN228" s="33">
        <f t="shared" si="49"/>
        <v>14</v>
      </c>
      <c r="AQ228" s="59">
        <v>43678</v>
      </c>
      <c r="AR228" s="33">
        <f t="shared" si="50"/>
        <v>14</v>
      </c>
      <c r="AT228" s="59">
        <f t="shared" si="44"/>
        <v>43678</v>
      </c>
      <c r="AU228" s="33">
        <f t="shared" si="39"/>
        <v>35120</v>
      </c>
      <c r="AV228" s="33">
        <f t="shared" si="40"/>
        <v>57220</v>
      </c>
      <c r="AW228" s="33">
        <v>7.28</v>
      </c>
      <c r="AX228" s="111">
        <f t="shared" si="52"/>
        <v>30</v>
      </c>
      <c r="AY228" s="41">
        <f t="shared" si="45"/>
        <v>10536</v>
      </c>
      <c r="AZ228" s="113" t="e">
        <f>ROUND((AZ227*AZ217/AZ218)*BA214%,0.1)</f>
        <v>#N/A</v>
      </c>
      <c r="BA228" s="41">
        <f t="shared" si="54"/>
        <v>24</v>
      </c>
      <c r="BB228" s="67">
        <f t="shared" si="51"/>
        <v>13733</v>
      </c>
      <c r="BC228" s="33">
        <v>38.776000000000003</v>
      </c>
      <c r="BD228" s="111">
        <f t="shared" si="42"/>
        <v>1</v>
      </c>
      <c r="BE228" s="112">
        <v>18950</v>
      </c>
      <c r="BF228" s="41">
        <v>600</v>
      </c>
      <c r="BG228" s="41">
        <v>300</v>
      </c>
      <c r="BH228" s="113">
        <f t="shared" si="46"/>
        <v>0</v>
      </c>
      <c r="BI228" s="115">
        <v>27880</v>
      </c>
      <c r="BJ228" s="41">
        <v>850</v>
      </c>
      <c r="BK228" s="41">
        <v>450</v>
      </c>
      <c r="BL228" s="113">
        <f t="shared" si="43"/>
        <v>0</v>
      </c>
      <c r="BM228" s="111">
        <f t="shared" si="53"/>
        <v>0</v>
      </c>
      <c r="BN228" s="67">
        <f t="shared" si="47"/>
        <v>0</v>
      </c>
    </row>
    <row r="229" spans="35:66" ht="22.5" hidden="1" customHeight="1">
      <c r="AI229" s="33">
        <f t="shared" si="48"/>
        <v>15</v>
      </c>
      <c r="AJ229" s="33" t="s">
        <v>298</v>
      </c>
      <c r="AK229" s="33">
        <v>9</v>
      </c>
      <c r="AL229" s="75">
        <v>2019</v>
      </c>
      <c r="AM229" s="33" t="str">
        <f t="shared" si="38"/>
        <v>Sep, 2019</v>
      </c>
      <c r="AN229" s="33">
        <f t="shared" si="49"/>
        <v>15</v>
      </c>
      <c r="AQ229" s="59">
        <v>43709</v>
      </c>
      <c r="AR229" s="33">
        <f t="shared" si="50"/>
        <v>15</v>
      </c>
      <c r="AT229" s="59">
        <f t="shared" si="44"/>
        <v>43709</v>
      </c>
      <c r="AU229" s="33">
        <f t="shared" si="39"/>
        <v>35120</v>
      </c>
      <c r="AV229" s="33">
        <f t="shared" si="40"/>
        <v>57220</v>
      </c>
      <c r="AW229" s="33">
        <v>7.28</v>
      </c>
      <c r="AX229" s="111">
        <f t="shared" si="52"/>
        <v>30</v>
      </c>
      <c r="AY229" s="41">
        <f t="shared" si="45"/>
        <v>10536</v>
      </c>
      <c r="AZ229" s="113" t="e">
        <f>ROUND((AZ227*AZ219/AZ218)*BB214%,0.1)</f>
        <v>#N/A</v>
      </c>
      <c r="BA229" s="41">
        <f t="shared" si="54"/>
        <v>24</v>
      </c>
      <c r="BB229" s="67">
        <f t="shared" si="51"/>
        <v>13733</v>
      </c>
      <c r="BC229" s="33">
        <v>38.776000000000003</v>
      </c>
      <c r="BD229" s="111">
        <f t="shared" si="42"/>
        <v>1</v>
      </c>
      <c r="BE229" s="112">
        <v>19500</v>
      </c>
      <c r="BF229" s="41">
        <v>600</v>
      </c>
      <c r="BG229" s="41">
        <v>300</v>
      </c>
      <c r="BH229" s="113">
        <f t="shared" si="46"/>
        <v>0</v>
      </c>
      <c r="BI229" s="115">
        <v>28630</v>
      </c>
      <c r="BJ229" s="41">
        <v>850</v>
      </c>
      <c r="BK229" s="41">
        <v>450</v>
      </c>
      <c r="BL229" s="113">
        <f t="shared" si="43"/>
        <v>0</v>
      </c>
      <c r="BM229" s="111">
        <f t="shared" si="53"/>
        <v>0</v>
      </c>
      <c r="BN229" s="67">
        <f t="shared" si="47"/>
        <v>0</v>
      </c>
    </row>
    <row r="230" spans="35:66" ht="22.5" hidden="1" customHeight="1" thickBot="1">
      <c r="AI230" s="33">
        <f t="shared" si="48"/>
        <v>16</v>
      </c>
      <c r="AJ230" s="33" t="s">
        <v>299</v>
      </c>
      <c r="AK230" s="33">
        <v>10</v>
      </c>
      <c r="AL230" s="75">
        <v>2019</v>
      </c>
      <c r="AM230" s="33" t="str">
        <f t="shared" si="38"/>
        <v>Oct, 2019</v>
      </c>
      <c r="AN230" s="33">
        <f t="shared" si="49"/>
        <v>16</v>
      </c>
      <c r="AQ230" s="59">
        <v>43739</v>
      </c>
      <c r="AR230" s="33">
        <f t="shared" si="50"/>
        <v>16</v>
      </c>
      <c r="AT230" s="59">
        <f t="shared" si="44"/>
        <v>43739</v>
      </c>
      <c r="AU230" s="33">
        <f t="shared" si="39"/>
        <v>36070</v>
      </c>
      <c r="AV230" s="33">
        <f t="shared" si="40"/>
        <v>58850</v>
      </c>
      <c r="AW230" s="33">
        <v>7.28</v>
      </c>
      <c r="AX230" s="111">
        <f t="shared" si="52"/>
        <v>30</v>
      </c>
      <c r="AY230" s="41">
        <f t="shared" si="45"/>
        <v>10821</v>
      </c>
      <c r="AZ230" s="117" t="e">
        <f>AZ228+AZ229</f>
        <v>#N/A</v>
      </c>
      <c r="BA230" s="41">
        <f t="shared" si="54"/>
        <v>24</v>
      </c>
      <c r="BB230" s="67">
        <f t="shared" si="51"/>
        <v>14124</v>
      </c>
      <c r="BC230" s="33">
        <v>38.776000000000003</v>
      </c>
      <c r="BD230" s="111">
        <f t="shared" si="42"/>
        <v>1</v>
      </c>
      <c r="BE230" s="112">
        <v>20050</v>
      </c>
      <c r="BF230" s="41">
        <v>600</v>
      </c>
      <c r="BG230" s="41">
        <v>300</v>
      </c>
      <c r="BH230" s="113">
        <f t="shared" si="46"/>
        <v>0</v>
      </c>
      <c r="BI230" s="115">
        <v>29380</v>
      </c>
      <c r="BJ230" s="41">
        <v>850</v>
      </c>
      <c r="BK230" s="41">
        <v>450</v>
      </c>
      <c r="BL230" s="113">
        <f t="shared" si="43"/>
        <v>0</v>
      </c>
      <c r="BM230" s="111">
        <f t="shared" si="53"/>
        <v>0</v>
      </c>
      <c r="BN230" s="67">
        <f t="shared" si="47"/>
        <v>0</v>
      </c>
    </row>
    <row r="231" spans="35:66" ht="22.5" hidden="1" customHeight="1">
      <c r="AI231" s="33">
        <f t="shared" si="48"/>
        <v>17</v>
      </c>
      <c r="AJ231" s="33" t="s">
        <v>300</v>
      </c>
      <c r="AK231" s="33">
        <v>11</v>
      </c>
      <c r="AL231" s="75">
        <v>2019</v>
      </c>
      <c r="AM231" s="33" t="str">
        <f t="shared" si="38"/>
        <v>Nov, 2019</v>
      </c>
      <c r="AN231" s="33">
        <f t="shared" si="49"/>
        <v>17</v>
      </c>
      <c r="AQ231" s="59">
        <v>43770</v>
      </c>
      <c r="AR231" s="33">
        <f t="shared" si="50"/>
        <v>17</v>
      </c>
      <c r="AT231" s="59">
        <f t="shared" si="44"/>
        <v>43770</v>
      </c>
      <c r="AU231" s="33">
        <f t="shared" si="39"/>
        <v>36070</v>
      </c>
      <c r="AV231" s="33">
        <f t="shared" si="40"/>
        <v>58850</v>
      </c>
      <c r="AW231" s="33">
        <v>7.28</v>
      </c>
      <c r="AX231" s="111">
        <f t="shared" si="52"/>
        <v>30</v>
      </c>
      <c r="AY231" s="41">
        <f t="shared" si="45"/>
        <v>10821</v>
      </c>
      <c r="AZ231" s="41"/>
      <c r="BA231" s="41">
        <f t="shared" si="54"/>
        <v>24</v>
      </c>
      <c r="BB231" s="67">
        <f t="shared" si="51"/>
        <v>14124</v>
      </c>
      <c r="BC231" s="33">
        <v>38.776000000000003</v>
      </c>
      <c r="BD231" s="111">
        <f t="shared" si="42"/>
        <v>1</v>
      </c>
      <c r="BE231" s="112">
        <v>20640</v>
      </c>
      <c r="BF231" s="41">
        <v>600</v>
      </c>
      <c r="BG231" s="41">
        <v>300</v>
      </c>
      <c r="BH231" s="113">
        <f t="shared" si="46"/>
        <v>0</v>
      </c>
      <c r="BI231" s="115">
        <v>30210</v>
      </c>
      <c r="BJ231" s="41">
        <v>850</v>
      </c>
      <c r="BK231" s="41">
        <v>450</v>
      </c>
      <c r="BL231" s="113">
        <f t="shared" si="43"/>
        <v>0</v>
      </c>
      <c r="BM231" s="111">
        <f t="shared" si="53"/>
        <v>0</v>
      </c>
      <c r="BN231" s="67">
        <f t="shared" si="47"/>
        <v>0</v>
      </c>
    </row>
    <row r="232" spans="35:66" ht="22.5" hidden="1" customHeight="1">
      <c r="AI232" s="33">
        <f t="shared" si="48"/>
        <v>18</v>
      </c>
      <c r="AJ232" s="33" t="s">
        <v>301</v>
      </c>
      <c r="AK232" s="33">
        <v>12</v>
      </c>
      <c r="AL232" s="75">
        <v>2019</v>
      </c>
      <c r="AM232" s="33" t="str">
        <f t="shared" si="38"/>
        <v>Dec, 2019</v>
      </c>
      <c r="AN232" s="33">
        <f t="shared" si="49"/>
        <v>18</v>
      </c>
      <c r="AQ232" s="59">
        <v>43800</v>
      </c>
      <c r="AR232" s="33">
        <f t="shared" si="50"/>
        <v>18</v>
      </c>
      <c r="AT232" s="59">
        <f t="shared" si="44"/>
        <v>43800</v>
      </c>
      <c r="AU232" s="33">
        <f t="shared" si="39"/>
        <v>36070</v>
      </c>
      <c r="AV232" s="33">
        <f t="shared" si="40"/>
        <v>58850</v>
      </c>
      <c r="AW232" s="33">
        <v>7.28</v>
      </c>
      <c r="AX232" s="111">
        <f t="shared" si="52"/>
        <v>30</v>
      </c>
      <c r="AY232" s="41">
        <f t="shared" ref="AY232:AY286" si="55">IF(AND(AY$214=1,AT232=AZ$221),AZ$225,IF(AX232=30,MIN(ROUND(AU232*AX232%,0.1),20000),MIN(ROUND(AU232*AX232%,0.1),15000)))</f>
        <v>10821</v>
      </c>
      <c r="AZ232" s="41"/>
      <c r="BA232" s="41">
        <f t="shared" si="54"/>
        <v>24</v>
      </c>
      <c r="BB232" s="67">
        <f t="shared" si="51"/>
        <v>14124</v>
      </c>
      <c r="BC232" s="33">
        <v>38.776000000000003</v>
      </c>
      <c r="BD232" s="111">
        <f t="shared" si="42"/>
        <v>1</v>
      </c>
      <c r="BE232" s="112">
        <v>21230</v>
      </c>
      <c r="BF232" s="41">
        <v>600</v>
      </c>
      <c r="BG232" s="41">
        <v>300</v>
      </c>
      <c r="BH232" s="113">
        <f t="shared" si="46"/>
        <v>0</v>
      </c>
      <c r="BI232" s="61">
        <v>31040</v>
      </c>
      <c r="BJ232" s="41">
        <v>850</v>
      </c>
      <c r="BK232" s="41">
        <v>450</v>
      </c>
      <c r="BL232" s="113">
        <f t="shared" si="43"/>
        <v>0</v>
      </c>
      <c r="BM232" s="111">
        <f t="shared" si="53"/>
        <v>0</v>
      </c>
      <c r="BN232" s="67">
        <f t="shared" si="47"/>
        <v>0</v>
      </c>
    </row>
    <row r="233" spans="35:66" ht="22.5" hidden="1" customHeight="1">
      <c r="AI233" s="33">
        <f t="shared" si="48"/>
        <v>19</v>
      </c>
      <c r="AJ233" s="33" t="s">
        <v>302</v>
      </c>
      <c r="AK233" s="33">
        <v>1</v>
      </c>
      <c r="AL233" s="75">
        <v>2020</v>
      </c>
      <c r="AM233" s="33" t="str">
        <f t="shared" si="38"/>
        <v>Jan, 2020</v>
      </c>
      <c r="AN233" s="33">
        <f t="shared" si="49"/>
        <v>19</v>
      </c>
      <c r="AQ233" s="59">
        <v>43831</v>
      </c>
      <c r="AR233" s="33">
        <f t="shared" si="50"/>
        <v>19</v>
      </c>
      <c r="AT233" s="59">
        <f t="shared" si="44"/>
        <v>43831</v>
      </c>
      <c r="AU233" s="33">
        <f t="shared" si="39"/>
        <v>36070</v>
      </c>
      <c r="AV233" s="33">
        <f t="shared" si="40"/>
        <v>58850</v>
      </c>
      <c r="AW233" s="33">
        <v>7.28</v>
      </c>
      <c r="AX233" s="111">
        <f t="shared" si="52"/>
        <v>30</v>
      </c>
      <c r="AY233" s="41">
        <f t="shared" si="55"/>
        <v>10821</v>
      </c>
      <c r="AZ233" s="41"/>
      <c r="BA233" s="41">
        <f t="shared" si="54"/>
        <v>24</v>
      </c>
      <c r="BB233" s="67">
        <f t="shared" si="51"/>
        <v>14124</v>
      </c>
      <c r="BC233" s="33">
        <v>38.776000000000003</v>
      </c>
      <c r="BD233" s="111">
        <f t="shared" si="42"/>
        <v>1</v>
      </c>
      <c r="BE233" s="112">
        <v>21820</v>
      </c>
      <c r="BF233" s="41">
        <v>600</v>
      </c>
      <c r="BG233" s="41">
        <v>300</v>
      </c>
      <c r="BH233" s="113">
        <f t="shared" si="46"/>
        <v>0</v>
      </c>
      <c r="BI233" s="115">
        <v>31870</v>
      </c>
      <c r="BJ233" s="41">
        <v>850</v>
      </c>
      <c r="BK233" s="41">
        <v>450</v>
      </c>
      <c r="BL233" s="113">
        <f t="shared" si="43"/>
        <v>0</v>
      </c>
      <c r="BM233" s="111">
        <f t="shared" si="53"/>
        <v>0</v>
      </c>
      <c r="BN233" s="67">
        <f t="shared" si="47"/>
        <v>0</v>
      </c>
    </row>
    <row r="234" spans="35:66" ht="22.5" hidden="1" customHeight="1">
      <c r="AI234" s="33">
        <f t="shared" si="48"/>
        <v>20</v>
      </c>
      <c r="AJ234" s="33" t="s">
        <v>303</v>
      </c>
      <c r="AK234" s="33">
        <v>2</v>
      </c>
      <c r="AL234" s="75">
        <v>2020</v>
      </c>
      <c r="AM234" s="33" t="str">
        <f t="shared" si="38"/>
        <v>Feb, 2020</v>
      </c>
      <c r="AN234" s="33">
        <f t="shared" si="49"/>
        <v>20</v>
      </c>
      <c r="AQ234" s="59">
        <v>43862</v>
      </c>
      <c r="AR234" s="33">
        <f t="shared" si="50"/>
        <v>20</v>
      </c>
      <c r="AT234" s="59">
        <f t="shared" si="44"/>
        <v>43862</v>
      </c>
      <c r="AU234" s="33">
        <f t="shared" si="39"/>
        <v>36070</v>
      </c>
      <c r="AV234" s="33">
        <f t="shared" si="40"/>
        <v>58850</v>
      </c>
      <c r="AW234" s="33">
        <v>7.28</v>
      </c>
      <c r="AX234" s="111">
        <f t="shared" si="52"/>
        <v>30</v>
      </c>
      <c r="AY234" s="41">
        <f t="shared" si="55"/>
        <v>10821</v>
      </c>
      <c r="AZ234" s="41"/>
      <c r="BA234" s="41">
        <f t="shared" si="54"/>
        <v>24</v>
      </c>
      <c r="BB234" s="67">
        <f t="shared" si="51"/>
        <v>14124</v>
      </c>
      <c r="BC234" s="33">
        <v>38.776000000000003</v>
      </c>
      <c r="BD234" s="111">
        <f t="shared" si="42"/>
        <v>1</v>
      </c>
      <c r="BE234" s="112">
        <v>22460</v>
      </c>
      <c r="BF234" s="41">
        <v>600</v>
      </c>
      <c r="BG234" s="41">
        <v>300</v>
      </c>
      <c r="BH234" s="113">
        <f t="shared" si="46"/>
        <v>0</v>
      </c>
      <c r="BI234" s="115">
        <v>32810</v>
      </c>
      <c r="BJ234" s="41">
        <v>850</v>
      </c>
      <c r="BK234" s="41">
        <v>450</v>
      </c>
      <c r="BL234" s="113">
        <f t="shared" si="43"/>
        <v>0</v>
      </c>
      <c r="BM234" s="111">
        <f t="shared" si="53"/>
        <v>0</v>
      </c>
      <c r="BN234" s="67">
        <f t="shared" si="47"/>
        <v>0</v>
      </c>
    </row>
    <row r="235" spans="35:66" ht="22.5" hidden="1" customHeight="1">
      <c r="AI235" s="33">
        <f t="shared" si="48"/>
        <v>21</v>
      </c>
      <c r="AJ235" s="33" t="s">
        <v>304</v>
      </c>
      <c r="AK235" s="33">
        <v>3</v>
      </c>
      <c r="AL235" s="75">
        <v>2020</v>
      </c>
      <c r="AM235" s="33" t="str">
        <f t="shared" si="38"/>
        <v>Mar, 2020</v>
      </c>
      <c r="AN235" s="33">
        <f t="shared" si="49"/>
        <v>21</v>
      </c>
      <c r="AQ235" s="59">
        <v>43891</v>
      </c>
      <c r="AR235" s="33">
        <f t="shared" si="50"/>
        <v>21</v>
      </c>
      <c r="AT235" s="59">
        <f t="shared" si="44"/>
        <v>43891</v>
      </c>
      <c r="AU235" s="33">
        <f t="shared" si="39"/>
        <v>36070</v>
      </c>
      <c r="AV235" s="33">
        <f t="shared" si="40"/>
        <v>58850</v>
      </c>
      <c r="AW235" s="33">
        <v>7.28</v>
      </c>
      <c r="AX235" s="111">
        <f t="shared" si="52"/>
        <v>30</v>
      </c>
      <c r="AY235" s="41">
        <f t="shared" si="55"/>
        <v>10821</v>
      </c>
      <c r="AZ235" s="41"/>
      <c r="BA235" s="41">
        <f t="shared" si="54"/>
        <v>24</v>
      </c>
      <c r="BB235" s="67">
        <f t="shared" si="51"/>
        <v>14124</v>
      </c>
      <c r="BC235" s="33">
        <v>38.776000000000003</v>
      </c>
      <c r="BD235" s="111">
        <f t="shared" si="42"/>
        <v>1</v>
      </c>
      <c r="BE235" s="112">
        <v>23100</v>
      </c>
      <c r="BF235" s="41">
        <v>600</v>
      </c>
      <c r="BG235" s="41">
        <v>300</v>
      </c>
      <c r="BH235" s="113">
        <f t="shared" si="46"/>
        <v>0</v>
      </c>
      <c r="BI235" s="115">
        <v>33750</v>
      </c>
      <c r="BJ235" s="41">
        <v>850</v>
      </c>
      <c r="BK235" s="41">
        <v>450</v>
      </c>
      <c r="BL235" s="113">
        <f t="shared" si="43"/>
        <v>0</v>
      </c>
      <c r="BM235" s="111">
        <f t="shared" si="53"/>
        <v>0</v>
      </c>
      <c r="BN235" s="67">
        <f t="shared" si="47"/>
        <v>0</v>
      </c>
    </row>
    <row r="236" spans="35:66" ht="22.5" hidden="1" customHeight="1">
      <c r="AI236" s="33">
        <f t="shared" si="48"/>
        <v>22</v>
      </c>
      <c r="AJ236" s="33" t="s">
        <v>305</v>
      </c>
      <c r="AK236" s="33">
        <v>4</v>
      </c>
      <c r="AL236" s="75">
        <v>2020</v>
      </c>
      <c r="AM236" s="33" t="str">
        <f t="shared" si="38"/>
        <v>Apr, 2020</v>
      </c>
      <c r="AN236" s="33">
        <f t="shared" si="49"/>
        <v>22</v>
      </c>
      <c r="AQ236" s="59">
        <v>43922</v>
      </c>
      <c r="AR236" s="33">
        <f t="shared" si="50"/>
        <v>22</v>
      </c>
      <c r="AT236" s="59">
        <f t="shared" si="44"/>
        <v>43922</v>
      </c>
      <c r="AU236" s="33">
        <f t="shared" si="39"/>
        <v>36070</v>
      </c>
      <c r="AV236" s="33">
        <f t="shared" si="40"/>
        <v>58850</v>
      </c>
      <c r="AW236" s="33">
        <v>7.28</v>
      </c>
      <c r="AX236" s="111">
        <f t="shared" si="52"/>
        <v>30</v>
      </c>
      <c r="AY236" s="41">
        <f t="shared" si="55"/>
        <v>10821</v>
      </c>
      <c r="AZ236" s="41"/>
      <c r="BA236" s="41">
        <f t="shared" si="54"/>
        <v>24</v>
      </c>
      <c r="BB236" s="67">
        <f t="shared" si="51"/>
        <v>14124</v>
      </c>
      <c r="BC236" s="33">
        <v>38.776000000000003</v>
      </c>
      <c r="BD236" s="111">
        <f t="shared" si="42"/>
        <v>1</v>
      </c>
      <c r="BE236" s="112">
        <v>23740</v>
      </c>
      <c r="BF236" s="41">
        <v>600</v>
      </c>
      <c r="BG236" s="41">
        <v>300</v>
      </c>
      <c r="BH236" s="113">
        <f>BH237</f>
        <v>0</v>
      </c>
      <c r="BI236" s="115">
        <v>34690</v>
      </c>
      <c r="BJ236" s="41">
        <v>850</v>
      </c>
      <c r="BK236" s="41">
        <v>450</v>
      </c>
      <c r="BL236" s="113">
        <f t="shared" si="43"/>
        <v>0</v>
      </c>
      <c r="BM236" s="111">
        <f>IF(BH236=BH237,BH236,ROUND(BH236*BI$213/BJ$213,0.1)+ROUND(BH237*BK$213/BJ$213,0.1))</f>
        <v>0</v>
      </c>
      <c r="BN236" s="67">
        <f t="shared" si="47"/>
        <v>0</v>
      </c>
    </row>
    <row r="237" spans="35:66" ht="22.5" hidden="1" customHeight="1">
      <c r="AI237" s="33">
        <f t="shared" si="48"/>
        <v>23</v>
      </c>
      <c r="AJ237" s="33" t="s">
        <v>306</v>
      </c>
      <c r="AK237" s="33">
        <v>5</v>
      </c>
      <c r="AL237" s="75">
        <v>2020</v>
      </c>
      <c r="AM237" s="33" t="str">
        <f t="shared" si="38"/>
        <v>May, 2020</v>
      </c>
      <c r="AN237" s="33">
        <f t="shared" si="49"/>
        <v>23</v>
      </c>
      <c r="AQ237" s="59">
        <v>43952</v>
      </c>
      <c r="AR237" s="33">
        <f t="shared" si="50"/>
        <v>23</v>
      </c>
      <c r="AT237" s="59">
        <f t="shared" si="44"/>
        <v>43952</v>
      </c>
      <c r="AU237" s="33">
        <f t="shared" si="39"/>
        <v>36070</v>
      </c>
      <c r="AV237" s="33">
        <f t="shared" si="40"/>
        <v>58850</v>
      </c>
      <c r="AW237" s="33">
        <v>7.28</v>
      </c>
      <c r="AX237" s="111">
        <f t="shared" si="52"/>
        <v>30</v>
      </c>
      <c r="AY237" s="41">
        <f t="shared" si="55"/>
        <v>10821</v>
      </c>
      <c r="AZ237" s="41"/>
      <c r="BA237" s="41">
        <f t="shared" si="54"/>
        <v>24</v>
      </c>
      <c r="BB237" s="67">
        <f t="shared" si="51"/>
        <v>14124</v>
      </c>
      <c r="BC237" s="33">
        <v>38.776000000000003</v>
      </c>
      <c r="BD237" s="111">
        <f t="shared" si="42"/>
        <v>1</v>
      </c>
      <c r="BE237" s="112">
        <v>24440</v>
      </c>
      <c r="BF237" s="41">
        <v>600</v>
      </c>
      <c r="BG237" s="41">
        <v>300</v>
      </c>
      <c r="BH237" s="113">
        <f t="shared" si="46"/>
        <v>0</v>
      </c>
      <c r="BI237" s="115">
        <v>35720</v>
      </c>
      <c r="BJ237" s="41">
        <v>850</v>
      </c>
      <c r="BK237" s="41">
        <v>450</v>
      </c>
      <c r="BL237" s="113">
        <f t="shared" si="43"/>
        <v>0</v>
      </c>
      <c r="BM237" s="111">
        <f>IF(BH237=BH238,BH237,ROUND(BH237*BI$213/BJ$213,0.1)+ROUND(BH238*BK$213/BJ$213,0.1))</f>
        <v>630</v>
      </c>
      <c r="BN237" s="67">
        <f t="shared" si="47"/>
        <v>1125</v>
      </c>
    </row>
    <row r="238" spans="35:66" ht="22.5" hidden="1" customHeight="1">
      <c r="AI238" s="33">
        <f t="shared" si="48"/>
        <v>24</v>
      </c>
      <c r="AJ238" s="33" t="s">
        <v>307</v>
      </c>
      <c r="AK238" s="33">
        <v>6</v>
      </c>
      <c r="AL238" s="75">
        <v>2020</v>
      </c>
      <c r="AM238" s="33" t="str">
        <f t="shared" si="38"/>
        <v>Jun, 2020</v>
      </c>
      <c r="AN238" s="33">
        <f t="shared" si="49"/>
        <v>24</v>
      </c>
      <c r="AQ238" s="59">
        <v>43983</v>
      </c>
      <c r="AR238" s="33">
        <f t="shared" si="50"/>
        <v>24</v>
      </c>
      <c r="AT238" s="59">
        <f t="shared" si="44"/>
        <v>43983</v>
      </c>
      <c r="AU238" s="33">
        <f t="shared" si="39"/>
        <v>36070</v>
      </c>
      <c r="AV238" s="33">
        <f t="shared" si="40"/>
        <v>58850</v>
      </c>
      <c r="AW238" s="33">
        <v>7.28</v>
      </c>
      <c r="AX238" s="111">
        <f t="shared" si="52"/>
        <v>30</v>
      </c>
      <c r="AY238" s="41">
        <f t="shared" si="55"/>
        <v>10821</v>
      </c>
      <c r="AZ238" s="41"/>
      <c r="BA238" s="41">
        <f t="shared" si="54"/>
        <v>24</v>
      </c>
      <c r="BB238" s="67">
        <f t="shared" si="51"/>
        <v>14124</v>
      </c>
      <c r="BC238" s="33">
        <v>38.776000000000003</v>
      </c>
      <c r="BD238" s="111">
        <f t="shared" si="42"/>
        <v>2</v>
      </c>
      <c r="BE238" s="112">
        <v>25140</v>
      </c>
      <c r="BF238" s="41">
        <v>600</v>
      </c>
      <c r="BG238" s="41">
        <v>300</v>
      </c>
      <c r="BH238" s="113">
        <f t="shared" si="46"/>
        <v>700</v>
      </c>
      <c r="BI238" s="115">
        <v>36750</v>
      </c>
      <c r="BJ238" s="41">
        <v>850</v>
      </c>
      <c r="BK238" s="41">
        <v>450</v>
      </c>
      <c r="BL238" s="113">
        <f t="shared" si="43"/>
        <v>1250</v>
      </c>
      <c r="BM238" s="111">
        <f t="shared" si="53"/>
        <v>700</v>
      </c>
      <c r="BN238" s="67">
        <f t="shared" si="47"/>
        <v>1250</v>
      </c>
    </row>
    <row r="239" spans="35:66" ht="22.5" hidden="1" customHeight="1">
      <c r="AI239" s="33">
        <f t="shared" si="48"/>
        <v>25</v>
      </c>
      <c r="AJ239" s="33" t="s">
        <v>296</v>
      </c>
      <c r="AK239" s="33">
        <v>7</v>
      </c>
      <c r="AL239" s="75">
        <v>2020</v>
      </c>
      <c r="AM239" s="33" t="str">
        <f t="shared" si="38"/>
        <v>Jul, 2020</v>
      </c>
      <c r="AN239" s="33">
        <f t="shared" si="49"/>
        <v>25</v>
      </c>
      <c r="AQ239" s="59">
        <v>44013</v>
      </c>
      <c r="AR239" s="33">
        <f t="shared" si="50"/>
        <v>25</v>
      </c>
      <c r="AT239" s="59">
        <f t="shared" si="44"/>
        <v>44013</v>
      </c>
      <c r="AU239" s="33">
        <f t="shared" si="39"/>
        <v>36070</v>
      </c>
      <c r="AV239" s="33">
        <f t="shared" si="40"/>
        <v>58850</v>
      </c>
      <c r="AW239" s="33">
        <v>7.28</v>
      </c>
      <c r="AX239" s="111">
        <f t="shared" si="52"/>
        <v>30</v>
      </c>
      <c r="AY239" s="41">
        <f t="shared" si="55"/>
        <v>10821</v>
      </c>
      <c r="AZ239" s="41"/>
      <c r="BA239" s="41">
        <f t="shared" si="54"/>
        <v>24</v>
      </c>
      <c r="BB239" s="67">
        <f t="shared" si="51"/>
        <v>14124</v>
      </c>
      <c r="BC239" s="33">
        <v>38.776000000000003</v>
      </c>
      <c r="BD239" s="111">
        <f t="shared" si="42"/>
        <v>2</v>
      </c>
      <c r="BE239" s="112">
        <v>25840</v>
      </c>
      <c r="BF239" s="41">
        <v>600</v>
      </c>
      <c r="BG239" s="41">
        <v>300</v>
      </c>
      <c r="BH239" s="113">
        <f t="shared" si="46"/>
        <v>700</v>
      </c>
      <c r="BI239" s="115">
        <v>37780</v>
      </c>
      <c r="BJ239" s="41">
        <v>850</v>
      </c>
      <c r="BK239" s="41">
        <v>450</v>
      </c>
      <c r="BL239" s="113">
        <f t="shared" si="43"/>
        <v>1250</v>
      </c>
      <c r="BM239" s="111">
        <f t="shared" si="53"/>
        <v>700</v>
      </c>
      <c r="BN239" s="67">
        <f t="shared" si="47"/>
        <v>1250</v>
      </c>
    </row>
    <row r="240" spans="35:66" ht="22.5" hidden="1" customHeight="1">
      <c r="AI240" s="33">
        <f t="shared" si="48"/>
        <v>26</v>
      </c>
      <c r="AJ240" s="33" t="s">
        <v>297</v>
      </c>
      <c r="AK240" s="33">
        <v>8</v>
      </c>
      <c r="AL240" s="75">
        <v>2020</v>
      </c>
      <c r="AM240" s="33" t="str">
        <f t="shared" si="38"/>
        <v>Aug, 2020</v>
      </c>
      <c r="AN240" s="33">
        <f t="shared" si="49"/>
        <v>26</v>
      </c>
      <c r="AQ240" s="59">
        <v>44044</v>
      </c>
      <c r="AR240" s="33">
        <f t="shared" si="50"/>
        <v>26</v>
      </c>
      <c r="AT240" s="59">
        <f t="shared" si="44"/>
        <v>44044</v>
      </c>
      <c r="AU240" s="33">
        <f t="shared" si="39"/>
        <v>36070</v>
      </c>
      <c r="AV240" s="33">
        <f t="shared" si="40"/>
        <v>58850</v>
      </c>
      <c r="AW240" s="33">
        <v>7.28</v>
      </c>
      <c r="AX240" s="111">
        <f t="shared" si="52"/>
        <v>30</v>
      </c>
      <c r="AY240" s="41">
        <f t="shared" si="55"/>
        <v>10821</v>
      </c>
      <c r="AZ240" s="41"/>
      <c r="BA240" s="41">
        <f t="shared" si="54"/>
        <v>24</v>
      </c>
      <c r="BB240" s="67">
        <f t="shared" si="51"/>
        <v>14124</v>
      </c>
      <c r="BC240" s="33">
        <v>38.776000000000003</v>
      </c>
      <c r="BD240" s="111">
        <f t="shared" si="42"/>
        <v>2</v>
      </c>
      <c r="BE240" s="112">
        <v>26600</v>
      </c>
      <c r="BF240" s="41">
        <v>600</v>
      </c>
      <c r="BG240" s="41">
        <v>300</v>
      </c>
      <c r="BH240" s="113">
        <f t="shared" si="46"/>
        <v>700</v>
      </c>
      <c r="BI240" s="115">
        <v>38890</v>
      </c>
      <c r="BJ240" s="41">
        <v>850</v>
      </c>
      <c r="BK240" s="41">
        <v>450</v>
      </c>
      <c r="BL240" s="113">
        <f t="shared" si="43"/>
        <v>1250</v>
      </c>
      <c r="BM240" s="111">
        <f t="shared" si="53"/>
        <v>700</v>
      </c>
      <c r="BN240" s="67">
        <f t="shared" si="47"/>
        <v>1250</v>
      </c>
    </row>
    <row r="241" spans="35:66" ht="22.5" hidden="1" customHeight="1">
      <c r="AI241" s="33">
        <f t="shared" si="48"/>
        <v>27</v>
      </c>
      <c r="AJ241" s="33" t="s">
        <v>298</v>
      </c>
      <c r="AK241" s="33">
        <v>9</v>
      </c>
      <c r="AL241" s="75">
        <v>2020</v>
      </c>
      <c r="AM241" s="33" t="str">
        <f t="shared" si="38"/>
        <v>Sep, 2020</v>
      </c>
      <c r="AN241" s="33">
        <f t="shared" si="49"/>
        <v>27</v>
      </c>
      <c r="AQ241" s="59">
        <v>44075</v>
      </c>
      <c r="AR241" s="33">
        <f t="shared" si="50"/>
        <v>27</v>
      </c>
      <c r="AT241" s="59">
        <f t="shared" si="44"/>
        <v>44075</v>
      </c>
      <c r="AU241" s="33">
        <f t="shared" si="39"/>
        <v>36070</v>
      </c>
      <c r="AV241" s="33">
        <f t="shared" si="40"/>
        <v>58850</v>
      </c>
      <c r="AW241" s="33">
        <v>7.28</v>
      </c>
      <c r="AX241" s="111">
        <f t="shared" si="52"/>
        <v>30</v>
      </c>
      <c r="AY241" s="41">
        <f t="shared" si="55"/>
        <v>10821</v>
      </c>
      <c r="AZ241" s="41"/>
      <c r="BA241" s="41">
        <f t="shared" si="54"/>
        <v>24</v>
      </c>
      <c r="BB241" s="67">
        <f t="shared" si="51"/>
        <v>14124</v>
      </c>
      <c r="BC241" s="33">
        <v>38.776000000000003</v>
      </c>
      <c r="BD241" s="111">
        <f t="shared" si="42"/>
        <v>2</v>
      </c>
      <c r="BE241" s="112">
        <v>27360</v>
      </c>
      <c r="BF241" s="41">
        <v>600</v>
      </c>
      <c r="BG241" s="41">
        <v>300</v>
      </c>
      <c r="BH241" s="113">
        <f t="shared" si="46"/>
        <v>700</v>
      </c>
      <c r="BI241" s="115">
        <v>40000</v>
      </c>
      <c r="BJ241" s="41">
        <v>850</v>
      </c>
      <c r="BK241" s="41">
        <v>450</v>
      </c>
      <c r="BL241" s="113">
        <f t="shared" si="43"/>
        <v>1250</v>
      </c>
      <c r="BM241" s="111">
        <f t="shared" si="53"/>
        <v>700</v>
      </c>
      <c r="BN241" s="67">
        <f t="shared" si="47"/>
        <v>1250</v>
      </c>
    </row>
    <row r="242" spans="35:66" ht="22.5" hidden="1" customHeight="1">
      <c r="AI242" s="33">
        <f t="shared" si="48"/>
        <v>28</v>
      </c>
      <c r="AJ242" s="33" t="s">
        <v>299</v>
      </c>
      <c r="AK242" s="33">
        <v>10</v>
      </c>
      <c r="AL242" s="75">
        <v>2020</v>
      </c>
      <c r="AM242" s="33" t="str">
        <f t="shared" si="38"/>
        <v>Oct, 2020</v>
      </c>
      <c r="AN242" s="33">
        <f t="shared" si="49"/>
        <v>28</v>
      </c>
      <c r="AQ242" s="59">
        <v>44105</v>
      </c>
      <c r="AR242" s="33">
        <f t="shared" si="50"/>
        <v>28</v>
      </c>
      <c r="AT242" s="59">
        <f t="shared" si="44"/>
        <v>44105</v>
      </c>
      <c r="AU242" s="33">
        <f t="shared" si="39"/>
        <v>37100</v>
      </c>
      <c r="AV242" s="33">
        <f t="shared" si="40"/>
        <v>60480</v>
      </c>
      <c r="AW242" s="33">
        <v>7.28</v>
      </c>
      <c r="AX242" s="111">
        <f t="shared" si="52"/>
        <v>30</v>
      </c>
      <c r="AY242" s="41">
        <f t="shared" si="55"/>
        <v>11130</v>
      </c>
      <c r="AZ242" s="41"/>
      <c r="BA242" s="41">
        <f t="shared" si="54"/>
        <v>24</v>
      </c>
      <c r="BB242" s="67">
        <f t="shared" si="51"/>
        <v>14515</v>
      </c>
      <c r="BC242" s="33">
        <v>38.776000000000003</v>
      </c>
      <c r="BD242" s="111">
        <f t="shared" si="42"/>
        <v>2</v>
      </c>
      <c r="BE242" s="112">
        <v>28120</v>
      </c>
      <c r="BF242" s="41">
        <v>600</v>
      </c>
      <c r="BG242" s="41">
        <v>300</v>
      </c>
      <c r="BH242" s="113">
        <f t="shared" si="46"/>
        <v>700</v>
      </c>
      <c r="BI242" s="115">
        <v>41110</v>
      </c>
      <c r="BJ242" s="41">
        <v>850</v>
      </c>
      <c r="BK242" s="41">
        <v>450</v>
      </c>
      <c r="BL242" s="113">
        <f t="shared" si="43"/>
        <v>1250</v>
      </c>
      <c r="BM242" s="111">
        <f t="shared" si="53"/>
        <v>1623</v>
      </c>
      <c r="BN242" s="67">
        <f t="shared" si="47"/>
        <v>1250</v>
      </c>
    </row>
    <row r="243" spans="35:66" ht="22.5" hidden="1" customHeight="1">
      <c r="AI243" s="33">
        <f t="shared" si="48"/>
        <v>29</v>
      </c>
      <c r="AJ243" s="33" t="s">
        <v>300</v>
      </c>
      <c r="AK243" s="33">
        <v>11</v>
      </c>
      <c r="AL243" s="75">
        <v>2020</v>
      </c>
      <c r="AM243" s="33" t="str">
        <f t="shared" si="38"/>
        <v>Nov, 2020</v>
      </c>
      <c r="AN243" s="33">
        <f t="shared" si="49"/>
        <v>29</v>
      </c>
      <c r="AQ243" s="59">
        <v>44136</v>
      </c>
      <c r="AR243" s="33">
        <f t="shared" si="50"/>
        <v>29</v>
      </c>
      <c r="AT243" s="59">
        <f t="shared" si="44"/>
        <v>44136</v>
      </c>
      <c r="AU243" s="33">
        <f t="shared" si="39"/>
        <v>38130</v>
      </c>
      <c r="AV243" s="33">
        <f t="shared" si="40"/>
        <v>62110</v>
      </c>
      <c r="AW243" s="33">
        <v>7.28</v>
      </c>
      <c r="AX243" s="111">
        <f t="shared" si="52"/>
        <v>30</v>
      </c>
      <c r="AY243" s="41">
        <f t="shared" si="55"/>
        <v>11439</v>
      </c>
      <c r="AZ243" s="41"/>
      <c r="BA243" s="41">
        <f t="shared" si="54"/>
        <v>24</v>
      </c>
      <c r="BB243" s="67">
        <f t="shared" si="51"/>
        <v>14906</v>
      </c>
      <c r="BC243" s="33">
        <v>38.776000000000003</v>
      </c>
      <c r="BD243" s="111">
        <f t="shared" si="42"/>
        <v>2</v>
      </c>
      <c r="BE243" s="112">
        <v>28940</v>
      </c>
      <c r="BF243" s="41">
        <v>600</v>
      </c>
      <c r="BG243" s="41">
        <v>300</v>
      </c>
      <c r="BH243" s="113">
        <f t="shared" si="46"/>
        <v>1000</v>
      </c>
      <c r="BI243" s="115">
        <v>42300</v>
      </c>
      <c r="BJ243" s="41">
        <v>850</v>
      </c>
      <c r="BK243" s="41">
        <v>450</v>
      </c>
      <c r="BL243" s="113">
        <f t="shared" si="43"/>
        <v>1250</v>
      </c>
      <c r="BM243" s="111">
        <f t="shared" si="53"/>
        <v>1000</v>
      </c>
      <c r="BN243" s="67">
        <f t="shared" si="47"/>
        <v>1250</v>
      </c>
    </row>
    <row r="244" spans="35:66" ht="22.5" hidden="1" customHeight="1">
      <c r="AI244" s="33">
        <f t="shared" si="48"/>
        <v>30</v>
      </c>
      <c r="AJ244" s="33" t="s">
        <v>301</v>
      </c>
      <c r="AK244" s="33">
        <v>12</v>
      </c>
      <c r="AL244" s="75">
        <v>2020</v>
      </c>
      <c r="AM244" s="33" t="str">
        <f t="shared" si="38"/>
        <v>Dec, 2020</v>
      </c>
      <c r="AN244" s="33">
        <f t="shared" si="49"/>
        <v>30</v>
      </c>
      <c r="AQ244" s="59">
        <v>44166</v>
      </c>
      <c r="AR244" s="33">
        <f t="shared" si="50"/>
        <v>30</v>
      </c>
      <c r="AT244" s="59">
        <f t="shared" si="44"/>
        <v>44166</v>
      </c>
      <c r="AU244" s="33">
        <f t="shared" si="39"/>
        <v>38130</v>
      </c>
      <c r="AV244" s="33">
        <f t="shared" si="40"/>
        <v>62110</v>
      </c>
      <c r="AW244" s="33">
        <v>7.28</v>
      </c>
      <c r="AX244" s="111">
        <f t="shared" si="52"/>
        <v>30</v>
      </c>
      <c r="AY244" s="41">
        <f t="shared" si="55"/>
        <v>11439</v>
      </c>
      <c r="AZ244" s="41"/>
      <c r="BA244" s="41">
        <f t="shared" si="54"/>
        <v>24</v>
      </c>
      <c r="BB244" s="67">
        <f t="shared" si="51"/>
        <v>14906</v>
      </c>
      <c r="BC244" s="33">
        <v>38.776000000000003</v>
      </c>
      <c r="BD244" s="111">
        <f t="shared" si="42"/>
        <v>2</v>
      </c>
      <c r="BE244" s="112">
        <v>29760</v>
      </c>
      <c r="BF244" s="41">
        <v>700</v>
      </c>
      <c r="BG244" s="41">
        <v>350</v>
      </c>
      <c r="BH244" s="113">
        <f t="shared" si="46"/>
        <v>1000</v>
      </c>
      <c r="BI244" s="115">
        <v>43490</v>
      </c>
      <c r="BJ244" s="41">
        <v>950</v>
      </c>
      <c r="BK244" s="41">
        <v>550</v>
      </c>
      <c r="BL244" s="113">
        <f t="shared" si="43"/>
        <v>1250</v>
      </c>
      <c r="BM244" s="111">
        <f t="shared" si="53"/>
        <v>1000</v>
      </c>
      <c r="BN244" s="67">
        <f t="shared" si="47"/>
        <v>1250</v>
      </c>
    </row>
    <row r="245" spans="35:66" ht="22.5" hidden="1" customHeight="1">
      <c r="AI245" s="33">
        <f t="shared" si="48"/>
        <v>31</v>
      </c>
      <c r="AJ245" s="33" t="s">
        <v>302</v>
      </c>
      <c r="AK245" s="33">
        <v>1</v>
      </c>
      <c r="AL245" s="75">
        <v>2021</v>
      </c>
      <c r="AM245" s="33" t="str">
        <f t="shared" si="38"/>
        <v>Jan, 2021</v>
      </c>
      <c r="AN245" s="33">
        <f t="shared" si="49"/>
        <v>31</v>
      </c>
      <c r="AQ245" s="59">
        <v>44197</v>
      </c>
      <c r="AR245" s="33">
        <f t="shared" si="50"/>
        <v>31</v>
      </c>
      <c r="AT245" s="59">
        <f t="shared" si="44"/>
        <v>44197</v>
      </c>
      <c r="AU245" s="33">
        <f t="shared" si="39"/>
        <v>38130</v>
      </c>
      <c r="AV245" s="33">
        <f t="shared" si="40"/>
        <v>62110</v>
      </c>
      <c r="AW245" s="33">
        <v>7.28</v>
      </c>
      <c r="AX245" s="111">
        <f t="shared" si="52"/>
        <v>30</v>
      </c>
      <c r="AY245" s="41">
        <f t="shared" si="55"/>
        <v>11439</v>
      </c>
      <c r="AZ245" s="41"/>
      <c r="BA245" s="41">
        <f t="shared" si="54"/>
        <v>24</v>
      </c>
      <c r="BB245" s="67">
        <f t="shared" si="51"/>
        <v>14906</v>
      </c>
      <c r="BC245" s="33">
        <v>38.776000000000003</v>
      </c>
      <c r="BD245" s="111">
        <f t="shared" si="42"/>
        <v>2</v>
      </c>
      <c r="BE245" s="112">
        <v>30580</v>
      </c>
      <c r="BF245" s="41">
        <v>700</v>
      </c>
      <c r="BG245" s="41">
        <v>350</v>
      </c>
      <c r="BH245" s="113">
        <f t="shared" si="46"/>
        <v>1000</v>
      </c>
      <c r="BI245" s="115">
        <v>44680</v>
      </c>
      <c r="BJ245" s="41">
        <v>950</v>
      </c>
      <c r="BK245" s="41">
        <v>550</v>
      </c>
      <c r="BL245" s="113">
        <f t="shared" si="43"/>
        <v>1250</v>
      </c>
      <c r="BM245" s="111">
        <f t="shared" si="53"/>
        <v>1000</v>
      </c>
      <c r="BN245" s="67">
        <f t="shared" si="47"/>
        <v>1250</v>
      </c>
    </row>
    <row r="246" spans="35:66" ht="22.5" hidden="1" customHeight="1">
      <c r="AI246" s="33">
        <f t="shared" si="48"/>
        <v>32</v>
      </c>
      <c r="AJ246" s="33" t="s">
        <v>303</v>
      </c>
      <c r="AK246" s="33">
        <v>2</v>
      </c>
      <c r="AL246" s="75">
        <v>2021</v>
      </c>
      <c r="AM246" s="33" t="str">
        <f t="shared" si="38"/>
        <v>Feb, 2021</v>
      </c>
      <c r="AN246" s="33">
        <f t="shared" si="49"/>
        <v>32</v>
      </c>
      <c r="AQ246" s="59">
        <v>44228</v>
      </c>
      <c r="AR246" s="33">
        <f t="shared" si="50"/>
        <v>32</v>
      </c>
      <c r="AT246" s="59">
        <f t="shared" si="44"/>
        <v>44228</v>
      </c>
      <c r="AU246" s="33">
        <f t="shared" si="39"/>
        <v>38130</v>
      </c>
      <c r="AV246" s="33">
        <f t="shared" si="40"/>
        <v>62110</v>
      </c>
      <c r="AW246" s="33">
        <v>7.28</v>
      </c>
      <c r="AX246" s="111">
        <f t="shared" si="52"/>
        <v>30</v>
      </c>
      <c r="AY246" s="41">
        <f t="shared" si="55"/>
        <v>11439</v>
      </c>
      <c r="AZ246" s="41"/>
      <c r="BA246" s="41">
        <f t="shared" si="54"/>
        <v>24</v>
      </c>
      <c r="BB246" s="67">
        <f t="shared" si="51"/>
        <v>14906</v>
      </c>
      <c r="BC246" s="33">
        <v>38.776000000000003</v>
      </c>
      <c r="BD246" s="111">
        <f t="shared" si="42"/>
        <v>2</v>
      </c>
      <c r="BE246" s="112">
        <v>31460</v>
      </c>
      <c r="BF246" s="41">
        <v>700</v>
      </c>
      <c r="BG246" s="41">
        <v>350</v>
      </c>
      <c r="BH246" s="113">
        <f t="shared" si="46"/>
        <v>1000</v>
      </c>
      <c r="BI246" s="115">
        <v>45960</v>
      </c>
      <c r="BJ246" s="41">
        <v>950</v>
      </c>
      <c r="BK246" s="41">
        <v>550</v>
      </c>
      <c r="BL246" s="113">
        <f t="shared" si="43"/>
        <v>1250</v>
      </c>
      <c r="BM246" s="111">
        <f t="shared" si="53"/>
        <v>1000</v>
      </c>
      <c r="BN246" s="67">
        <f t="shared" si="47"/>
        <v>1250</v>
      </c>
    </row>
    <row r="247" spans="35:66" ht="22.5" hidden="1" customHeight="1">
      <c r="AI247" s="33">
        <f t="shared" si="48"/>
        <v>33</v>
      </c>
      <c r="AJ247" s="33" t="s">
        <v>304</v>
      </c>
      <c r="AK247" s="33">
        <v>3</v>
      </c>
      <c r="AL247" s="75">
        <v>2021</v>
      </c>
      <c r="AM247" s="33" t="str">
        <f t="shared" ref="AM247:AM268" si="56">CONCATENATE(AJ247,", ",AL247)</f>
        <v>Mar, 2021</v>
      </c>
      <c r="AN247" s="33">
        <f t="shared" si="49"/>
        <v>33</v>
      </c>
      <c r="AQ247" s="59">
        <v>44256</v>
      </c>
      <c r="AR247" s="33">
        <f t="shared" si="50"/>
        <v>33</v>
      </c>
      <c r="AT247" s="59">
        <f t="shared" si="44"/>
        <v>44256</v>
      </c>
      <c r="AU247" s="33">
        <f t="shared" ref="AU247:AU278" si="57">IF(AT247&gt;=AU$210,AT$210,IF(AT247&gt;=AU$209,AT$209,IF(AT247&gt;=AU$208,AT$208,IF(AT247&gt;=AU$207,AT$207,IF(AT247&gt;=AU$206,AT$206,IF(AT247&gt;=AU$205,AT$205,IF(AT247&gt;=AU$204,AT$204,0)))))))</f>
        <v>38130</v>
      </c>
      <c r="AV247" s="33">
        <f t="shared" ref="AV247:AV278" si="58">IF(AT247&gt;=AU$210,BC$210,IF(AT247&gt;=AU$209,BC$209,IF(AT247&gt;=AU$208,BC$208,IF(AT247&gt;=AU$207,BC$207,IF(AT247&gt;=AU$206,BC$206,IF(AT247&gt;=AU$205,BC$205,IF(AT247&gt;=AU$204,BC$204,0)))))))</f>
        <v>62110</v>
      </c>
      <c r="AW247" s="33">
        <v>7.28</v>
      </c>
      <c r="AX247" s="111">
        <f t="shared" ref="AX247:AX278" si="59">IF(AND(AT247&gt;=AX$213,AY$214=1),AZ$214,AX$214)</f>
        <v>30</v>
      </c>
      <c r="AY247" s="41">
        <f t="shared" si="55"/>
        <v>11439</v>
      </c>
      <c r="AZ247" s="41"/>
      <c r="BA247" s="41">
        <f t="shared" si="54"/>
        <v>24</v>
      </c>
      <c r="BB247" s="67">
        <f t="shared" si="51"/>
        <v>14906</v>
      </c>
      <c r="BC247" s="33">
        <v>38.776000000000003</v>
      </c>
      <c r="BD247" s="111">
        <f t="shared" ref="BD247:BD278" si="60">IF(AND(AT247&gt;=BD$213,BG$213=1),BF$212,BE$212)</f>
        <v>2</v>
      </c>
      <c r="BE247" s="112">
        <v>32340</v>
      </c>
      <c r="BF247" s="41">
        <v>700</v>
      </c>
      <c r="BG247" s="41">
        <v>350</v>
      </c>
      <c r="BH247" s="113">
        <f t="shared" ref="BH247:BH278" si="61">IF(BD247=1,0,IF(BD247=2,VLOOKUP(AU247,BE$215:BG$295,2,0),VLOOKUP(AU247,BE$215:BG$295,3,0)))</f>
        <v>1000</v>
      </c>
      <c r="BI247" s="115">
        <v>47240</v>
      </c>
      <c r="BJ247" s="41">
        <v>950</v>
      </c>
      <c r="BK247" s="41">
        <v>550</v>
      </c>
      <c r="BL247" s="113">
        <f t="shared" ref="BL247:BL278" si="62">IF(BD247=1,0,IF(BD247=2,VLOOKUP(AV247,BI$215:BK$295,2,0),VLOOKUP(AV247,BI$215:BK$295,3,0)))</f>
        <v>1250</v>
      </c>
      <c r="BM247" s="111">
        <f t="shared" si="53"/>
        <v>1000</v>
      </c>
      <c r="BN247" s="67">
        <f t="shared" si="47"/>
        <v>1250</v>
      </c>
    </row>
    <row r="248" spans="35:66" ht="22.5" hidden="1" customHeight="1">
      <c r="AI248" s="33">
        <f t="shared" si="48"/>
        <v>34</v>
      </c>
      <c r="AJ248" s="33" t="s">
        <v>305</v>
      </c>
      <c r="AK248" s="33">
        <v>4</v>
      </c>
      <c r="AL248" s="75">
        <v>2021</v>
      </c>
      <c r="AM248" s="33" t="str">
        <f t="shared" si="56"/>
        <v>Apr, 2021</v>
      </c>
      <c r="AN248" s="33">
        <f t="shared" si="49"/>
        <v>34</v>
      </c>
      <c r="AQ248" s="59">
        <v>44287</v>
      </c>
      <c r="AR248" s="33">
        <f t="shared" si="50"/>
        <v>34</v>
      </c>
      <c r="AT248" s="59">
        <f t="shared" si="44"/>
        <v>44287</v>
      </c>
      <c r="AU248" s="33">
        <f t="shared" si="57"/>
        <v>38130</v>
      </c>
      <c r="AV248" s="33">
        <f t="shared" si="58"/>
        <v>62110</v>
      </c>
      <c r="AW248" s="33">
        <v>7.28</v>
      </c>
      <c r="AX248" s="111">
        <f t="shared" si="59"/>
        <v>30</v>
      </c>
      <c r="AY248" s="41">
        <f t="shared" si="55"/>
        <v>11439</v>
      </c>
      <c r="AZ248" s="41"/>
      <c r="BA248" s="41">
        <f t="shared" si="54"/>
        <v>24</v>
      </c>
      <c r="BB248" s="67">
        <f t="shared" si="51"/>
        <v>14906</v>
      </c>
      <c r="BC248" s="33">
        <v>38.776000000000003</v>
      </c>
      <c r="BD248" s="111">
        <f t="shared" si="60"/>
        <v>2</v>
      </c>
      <c r="BE248" s="112">
        <v>33220</v>
      </c>
      <c r="BF248" s="41">
        <v>700</v>
      </c>
      <c r="BG248" s="41">
        <v>350</v>
      </c>
      <c r="BH248" s="113">
        <f t="shared" si="61"/>
        <v>1000</v>
      </c>
      <c r="BI248" s="115">
        <v>48520</v>
      </c>
      <c r="BJ248" s="41">
        <v>950</v>
      </c>
      <c r="BK248" s="41">
        <v>550</v>
      </c>
      <c r="BL248" s="113">
        <f t="shared" si="62"/>
        <v>1250</v>
      </c>
      <c r="BM248" s="111">
        <f t="shared" si="53"/>
        <v>1000</v>
      </c>
      <c r="BN248" s="67">
        <f t="shared" si="47"/>
        <v>1250</v>
      </c>
    </row>
    <row r="249" spans="35:66" ht="22.5" hidden="1" customHeight="1">
      <c r="AI249" s="33">
        <f t="shared" si="48"/>
        <v>35</v>
      </c>
      <c r="AJ249" s="33" t="s">
        <v>306</v>
      </c>
      <c r="AK249" s="33">
        <v>5</v>
      </c>
      <c r="AL249" s="75">
        <v>2021</v>
      </c>
      <c r="AM249" s="33" t="str">
        <f t="shared" si="56"/>
        <v>May, 2021</v>
      </c>
      <c r="AN249" s="33">
        <f t="shared" si="49"/>
        <v>35</v>
      </c>
      <c r="AQ249" s="59">
        <v>44317</v>
      </c>
      <c r="AR249" s="33">
        <f t="shared" si="50"/>
        <v>35</v>
      </c>
      <c r="AT249" s="59">
        <f t="shared" si="44"/>
        <v>44317</v>
      </c>
      <c r="AU249" s="33">
        <f t="shared" si="57"/>
        <v>38130</v>
      </c>
      <c r="AV249" s="33">
        <f t="shared" si="58"/>
        <v>62110</v>
      </c>
      <c r="AW249" s="33">
        <v>7.28</v>
      </c>
      <c r="AX249" s="111">
        <f t="shared" si="59"/>
        <v>30</v>
      </c>
      <c r="AY249" s="41">
        <f t="shared" si="55"/>
        <v>11439</v>
      </c>
      <c r="AZ249" s="41"/>
      <c r="BA249" s="41">
        <f t="shared" si="54"/>
        <v>24</v>
      </c>
      <c r="BB249" s="67">
        <f>IF(AND(AY$214=1,AT249=AZ$221),AZ$230,ROUND(AV249*BA249%,0.1))</f>
        <v>14906</v>
      </c>
      <c r="BC249" s="33">
        <v>38.776000000000003</v>
      </c>
      <c r="BD249" s="111">
        <f t="shared" si="60"/>
        <v>2</v>
      </c>
      <c r="BE249" s="112">
        <v>34170</v>
      </c>
      <c r="BF249" s="41">
        <v>700</v>
      </c>
      <c r="BG249" s="41">
        <v>350</v>
      </c>
      <c r="BH249" s="113">
        <f t="shared" si="61"/>
        <v>1000</v>
      </c>
      <c r="BI249" s="115">
        <v>49920</v>
      </c>
      <c r="BJ249" s="41">
        <v>950</v>
      </c>
      <c r="BK249" s="41">
        <v>550</v>
      </c>
      <c r="BL249" s="113">
        <f t="shared" si="62"/>
        <v>1250</v>
      </c>
      <c r="BM249" s="111">
        <f t="shared" si="53"/>
        <v>1000</v>
      </c>
      <c r="BN249" s="67">
        <f t="shared" si="47"/>
        <v>1250</v>
      </c>
    </row>
    <row r="250" spans="35:66" ht="22.5" hidden="1" customHeight="1">
      <c r="AI250" s="33">
        <f t="shared" si="48"/>
        <v>36</v>
      </c>
      <c r="AJ250" s="33" t="s">
        <v>307</v>
      </c>
      <c r="AK250" s="33">
        <v>6</v>
      </c>
      <c r="AL250" s="75">
        <v>2021</v>
      </c>
      <c r="AM250" s="33" t="str">
        <f t="shared" si="56"/>
        <v>Jun, 2021</v>
      </c>
      <c r="AN250" s="33">
        <f t="shared" si="49"/>
        <v>36</v>
      </c>
      <c r="AQ250" s="59">
        <v>44348</v>
      </c>
      <c r="AR250" s="33">
        <f t="shared" si="50"/>
        <v>36</v>
      </c>
      <c r="AT250" s="59">
        <f t="shared" si="44"/>
        <v>44348</v>
      </c>
      <c r="AU250" s="33">
        <f t="shared" si="57"/>
        <v>38130</v>
      </c>
      <c r="AV250" s="33">
        <f t="shared" si="58"/>
        <v>62110</v>
      </c>
      <c r="AW250" s="33">
        <v>7.28</v>
      </c>
      <c r="AX250" s="111">
        <f t="shared" si="59"/>
        <v>30</v>
      </c>
      <c r="AY250" s="41">
        <f t="shared" si="55"/>
        <v>11439</v>
      </c>
      <c r="AZ250" s="41"/>
      <c r="BA250" s="41">
        <f t="shared" si="54"/>
        <v>24</v>
      </c>
      <c r="BB250" s="67">
        <f t="shared" si="51"/>
        <v>14906</v>
      </c>
      <c r="BC250" s="33">
        <v>38.776000000000003</v>
      </c>
      <c r="BD250" s="111">
        <f t="shared" si="60"/>
        <v>2</v>
      </c>
      <c r="BE250" s="112">
        <v>35120</v>
      </c>
      <c r="BF250" s="41">
        <v>700</v>
      </c>
      <c r="BG250" s="41">
        <v>350</v>
      </c>
      <c r="BH250" s="113">
        <f t="shared" si="61"/>
        <v>1000</v>
      </c>
      <c r="BI250" s="115">
        <v>51320</v>
      </c>
      <c r="BJ250" s="41">
        <v>950</v>
      </c>
      <c r="BK250" s="41">
        <v>550</v>
      </c>
      <c r="BL250" s="113">
        <f t="shared" si="62"/>
        <v>1250</v>
      </c>
      <c r="BM250" s="111">
        <f t="shared" si="53"/>
        <v>1000</v>
      </c>
      <c r="BN250" s="67">
        <f t="shared" si="47"/>
        <v>1250</v>
      </c>
    </row>
    <row r="251" spans="35:66" ht="22.5" hidden="1" customHeight="1">
      <c r="AI251" s="33">
        <f t="shared" si="48"/>
        <v>37</v>
      </c>
      <c r="AJ251" s="33" t="s">
        <v>296</v>
      </c>
      <c r="AK251" s="33">
        <v>7</v>
      </c>
      <c r="AL251" s="75">
        <v>2021</v>
      </c>
      <c r="AM251" s="33" t="str">
        <f t="shared" si="56"/>
        <v>Jul, 2021</v>
      </c>
      <c r="AN251" s="33">
        <f t="shared" si="49"/>
        <v>37</v>
      </c>
      <c r="AQ251" s="59">
        <v>44378</v>
      </c>
      <c r="AR251" s="33">
        <f t="shared" si="50"/>
        <v>37</v>
      </c>
      <c r="AT251" s="59">
        <f t="shared" si="44"/>
        <v>44378</v>
      </c>
      <c r="AU251" s="33">
        <f t="shared" si="57"/>
        <v>38130</v>
      </c>
      <c r="AV251" s="33">
        <f t="shared" si="58"/>
        <v>62110</v>
      </c>
      <c r="AW251" s="33">
        <v>7.28</v>
      </c>
      <c r="AX251" s="111">
        <f t="shared" si="59"/>
        <v>30</v>
      </c>
      <c r="AY251" s="41">
        <f t="shared" si="55"/>
        <v>11439</v>
      </c>
      <c r="AZ251" s="41"/>
      <c r="BA251" s="41">
        <f t="shared" si="54"/>
        <v>24</v>
      </c>
      <c r="BB251" s="67">
        <f t="shared" si="51"/>
        <v>14906</v>
      </c>
      <c r="BC251" s="33">
        <v>38.776000000000003</v>
      </c>
      <c r="BD251" s="111">
        <f t="shared" si="60"/>
        <v>2</v>
      </c>
      <c r="BE251" s="112">
        <v>36070</v>
      </c>
      <c r="BF251" s="41">
        <v>700</v>
      </c>
      <c r="BG251" s="41">
        <v>350</v>
      </c>
      <c r="BH251" s="113">
        <f t="shared" si="61"/>
        <v>1000</v>
      </c>
      <c r="BI251" s="115">
        <v>52720</v>
      </c>
      <c r="BJ251" s="41">
        <v>950</v>
      </c>
      <c r="BK251" s="41">
        <v>550</v>
      </c>
      <c r="BL251" s="113">
        <f t="shared" si="62"/>
        <v>1250</v>
      </c>
      <c r="BM251" s="111">
        <f t="shared" si="53"/>
        <v>1000</v>
      </c>
      <c r="BN251" s="67">
        <f t="shared" si="47"/>
        <v>1250</v>
      </c>
    </row>
    <row r="252" spans="35:66" ht="22.5" hidden="1" customHeight="1">
      <c r="AI252" s="33">
        <f t="shared" si="48"/>
        <v>38</v>
      </c>
      <c r="AJ252" s="33" t="s">
        <v>297</v>
      </c>
      <c r="AK252" s="33">
        <v>8</v>
      </c>
      <c r="AL252" s="75">
        <v>2021</v>
      </c>
      <c r="AM252" s="33" t="str">
        <f t="shared" si="56"/>
        <v>Aug, 2021</v>
      </c>
      <c r="AN252" s="33">
        <f t="shared" si="49"/>
        <v>38</v>
      </c>
      <c r="AQ252" s="59">
        <v>44409</v>
      </c>
      <c r="AR252" s="33">
        <f t="shared" si="50"/>
        <v>38</v>
      </c>
      <c r="AT252" s="59">
        <f t="shared" si="44"/>
        <v>44409</v>
      </c>
      <c r="AU252" s="33">
        <f t="shared" si="57"/>
        <v>38130</v>
      </c>
      <c r="AV252" s="33">
        <f t="shared" si="58"/>
        <v>62110</v>
      </c>
      <c r="AW252" s="33">
        <v>7.28</v>
      </c>
      <c r="AX252" s="111">
        <f t="shared" si="59"/>
        <v>30</v>
      </c>
      <c r="AY252" s="41">
        <f t="shared" si="55"/>
        <v>11439</v>
      </c>
      <c r="AZ252" s="41"/>
      <c r="BA252" s="41">
        <f t="shared" si="54"/>
        <v>24</v>
      </c>
      <c r="BB252" s="67">
        <f t="shared" si="51"/>
        <v>14906</v>
      </c>
      <c r="BC252" s="33">
        <v>38.776000000000003</v>
      </c>
      <c r="BD252" s="111">
        <f t="shared" si="60"/>
        <v>2</v>
      </c>
      <c r="BE252" s="112">
        <v>37100</v>
      </c>
      <c r="BF252" s="41">
        <v>700</v>
      </c>
      <c r="BG252" s="41">
        <v>350</v>
      </c>
      <c r="BH252" s="113">
        <f t="shared" si="61"/>
        <v>1000</v>
      </c>
      <c r="BI252" s="115">
        <v>54220</v>
      </c>
      <c r="BJ252" s="41">
        <v>950</v>
      </c>
      <c r="BK252" s="41">
        <v>550</v>
      </c>
      <c r="BL252" s="113">
        <f t="shared" si="62"/>
        <v>1250</v>
      </c>
      <c r="BM252" s="111">
        <f t="shared" si="53"/>
        <v>1000</v>
      </c>
      <c r="BN252" s="67">
        <f t="shared" si="47"/>
        <v>1250</v>
      </c>
    </row>
    <row r="253" spans="35:66" ht="22.5" hidden="1" customHeight="1">
      <c r="AI253" s="33">
        <f t="shared" si="48"/>
        <v>39</v>
      </c>
      <c r="AJ253" s="33" t="s">
        <v>298</v>
      </c>
      <c r="AK253" s="33">
        <v>9</v>
      </c>
      <c r="AL253" s="75">
        <v>2021</v>
      </c>
      <c r="AM253" s="33" t="str">
        <f t="shared" si="56"/>
        <v>Sep, 2021</v>
      </c>
      <c r="AN253" s="33">
        <f t="shared" si="49"/>
        <v>39</v>
      </c>
      <c r="AQ253" s="59">
        <v>44440</v>
      </c>
      <c r="AR253" s="33">
        <f t="shared" si="50"/>
        <v>39</v>
      </c>
      <c r="AT253" s="59">
        <f t="shared" si="44"/>
        <v>44440</v>
      </c>
      <c r="AU253" s="33">
        <f t="shared" si="57"/>
        <v>38130</v>
      </c>
      <c r="AV253" s="33">
        <f t="shared" si="58"/>
        <v>62110</v>
      </c>
      <c r="AW253" s="33">
        <v>7.28</v>
      </c>
      <c r="AX253" s="111">
        <f t="shared" si="59"/>
        <v>30</v>
      </c>
      <c r="AY253" s="41">
        <f t="shared" si="55"/>
        <v>11439</v>
      </c>
      <c r="AZ253" s="41"/>
      <c r="BA253" s="41">
        <f t="shared" si="54"/>
        <v>24</v>
      </c>
      <c r="BB253" s="67">
        <f t="shared" si="51"/>
        <v>14906</v>
      </c>
      <c r="BC253" s="33">
        <v>38.776000000000003</v>
      </c>
      <c r="BD253" s="111">
        <f t="shared" si="60"/>
        <v>2</v>
      </c>
      <c r="BE253" s="112">
        <v>38130</v>
      </c>
      <c r="BF253" s="41">
        <v>1000</v>
      </c>
      <c r="BG253" s="41">
        <v>500</v>
      </c>
      <c r="BH253" s="113">
        <f t="shared" si="61"/>
        <v>1000</v>
      </c>
      <c r="BI253" s="115">
        <v>55720</v>
      </c>
      <c r="BJ253" s="41">
        <v>1250</v>
      </c>
      <c r="BK253" s="41">
        <v>700</v>
      </c>
      <c r="BL253" s="113">
        <f t="shared" si="62"/>
        <v>1250</v>
      </c>
      <c r="BM253" s="111">
        <f t="shared" si="53"/>
        <v>1000</v>
      </c>
      <c r="BN253" s="67">
        <f t="shared" si="47"/>
        <v>1250</v>
      </c>
    </row>
    <row r="254" spans="35:66" ht="22.5" hidden="1" customHeight="1">
      <c r="AI254" s="33">
        <f t="shared" si="48"/>
        <v>40</v>
      </c>
      <c r="AJ254" s="33" t="s">
        <v>299</v>
      </c>
      <c r="AK254" s="33">
        <v>10</v>
      </c>
      <c r="AL254" s="75">
        <v>2021</v>
      </c>
      <c r="AM254" s="33" t="str">
        <f t="shared" si="56"/>
        <v>Oct, 2021</v>
      </c>
      <c r="AN254" s="33">
        <f t="shared" si="49"/>
        <v>40</v>
      </c>
      <c r="AQ254" s="59">
        <v>44470</v>
      </c>
      <c r="AR254" s="33">
        <f t="shared" si="50"/>
        <v>40</v>
      </c>
      <c r="AT254" s="59">
        <f t="shared" si="44"/>
        <v>44470</v>
      </c>
      <c r="AU254" s="33">
        <f t="shared" si="57"/>
        <v>38130</v>
      </c>
      <c r="AV254" s="33">
        <f t="shared" si="58"/>
        <v>62110</v>
      </c>
      <c r="AW254" s="33">
        <v>7.28</v>
      </c>
      <c r="AX254" s="111">
        <f t="shared" si="59"/>
        <v>30</v>
      </c>
      <c r="AY254" s="41">
        <f t="shared" si="55"/>
        <v>11439</v>
      </c>
      <c r="AZ254" s="41"/>
      <c r="BA254" s="41">
        <f t="shared" si="54"/>
        <v>24</v>
      </c>
      <c r="BB254" s="67">
        <f t="shared" si="51"/>
        <v>14906</v>
      </c>
      <c r="BC254" s="33">
        <v>38.776000000000003</v>
      </c>
      <c r="BD254" s="111">
        <f t="shared" si="60"/>
        <v>2</v>
      </c>
      <c r="BE254" s="112">
        <v>39160</v>
      </c>
      <c r="BF254" s="41">
        <v>1000</v>
      </c>
      <c r="BG254" s="41">
        <v>500</v>
      </c>
      <c r="BH254" s="113">
        <f t="shared" si="61"/>
        <v>1000</v>
      </c>
      <c r="BI254" s="115">
        <v>57220</v>
      </c>
      <c r="BJ254" s="41">
        <v>1250</v>
      </c>
      <c r="BK254" s="41">
        <v>700</v>
      </c>
      <c r="BL254" s="113">
        <f t="shared" si="62"/>
        <v>1250</v>
      </c>
      <c r="BM254" s="111">
        <f t="shared" si="53"/>
        <v>1000</v>
      </c>
      <c r="BN254" s="67">
        <f t="shared" si="47"/>
        <v>1250</v>
      </c>
    </row>
    <row r="255" spans="35:66" ht="22.5" hidden="1" customHeight="1">
      <c r="AI255" s="33">
        <f t="shared" si="48"/>
        <v>41</v>
      </c>
      <c r="AJ255" s="33" t="s">
        <v>300</v>
      </c>
      <c r="AK255" s="33">
        <v>11</v>
      </c>
      <c r="AL255" s="75">
        <v>2021</v>
      </c>
      <c r="AM255" s="33" t="str">
        <f t="shared" si="56"/>
        <v>Nov, 2021</v>
      </c>
      <c r="AN255" s="33">
        <f t="shared" si="49"/>
        <v>41</v>
      </c>
      <c r="AQ255" s="59">
        <v>44501</v>
      </c>
      <c r="AR255" s="33">
        <f t="shared" si="50"/>
        <v>41</v>
      </c>
      <c r="AT255" s="59">
        <f t="shared" si="44"/>
        <v>44501</v>
      </c>
      <c r="AU255" s="33">
        <f t="shared" si="57"/>
        <v>38130</v>
      </c>
      <c r="AV255" s="33">
        <f t="shared" si="58"/>
        <v>62110</v>
      </c>
      <c r="AW255" s="33">
        <v>7.28</v>
      </c>
      <c r="AX255" s="111">
        <f t="shared" si="59"/>
        <v>30</v>
      </c>
      <c r="AY255" s="41">
        <f t="shared" si="55"/>
        <v>11439</v>
      </c>
      <c r="AZ255" s="41"/>
      <c r="BA255" s="41">
        <f t="shared" si="54"/>
        <v>24</v>
      </c>
      <c r="BB255" s="67">
        <f t="shared" si="51"/>
        <v>14906</v>
      </c>
      <c r="BC255" s="33">
        <v>38.776000000000003</v>
      </c>
      <c r="BD255" s="111">
        <f t="shared" si="60"/>
        <v>2</v>
      </c>
      <c r="BE255" s="112">
        <v>40270</v>
      </c>
      <c r="BF255" s="41">
        <v>1000</v>
      </c>
      <c r="BG255" s="41">
        <v>500</v>
      </c>
      <c r="BH255" s="113">
        <f t="shared" si="61"/>
        <v>1000</v>
      </c>
      <c r="BI255" s="115">
        <v>58850</v>
      </c>
      <c r="BJ255" s="41">
        <v>1250</v>
      </c>
      <c r="BK255" s="41">
        <v>700</v>
      </c>
      <c r="BL255" s="113">
        <f t="shared" si="62"/>
        <v>1250</v>
      </c>
      <c r="BM255" s="111">
        <f t="shared" si="53"/>
        <v>1000</v>
      </c>
      <c r="BN255" s="67">
        <f t="shared" si="47"/>
        <v>1250</v>
      </c>
    </row>
    <row r="256" spans="35:66" ht="22.5" hidden="1" customHeight="1">
      <c r="AI256" s="33">
        <f t="shared" si="48"/>
        <v>42</v>
      </c>
      <c r="AJ256" s="33" t="s">
        <v>301</v>
      </c>
      <c r="AK256" s="33">
        <v>12</v>
      </c>
      <c r="AL256" s="75">
        <v>2021</v>
      </c>
      <c r="AM256" s="33" t="str">
        <f t="shared" si="56"/>
        <v>Dec, 2021</v>
      </c>
      <c r="AN256" s="33">
        <f t="shared" si="49"/>
        <v>42</v>
      </c>
      <c r="AQ256" s="59">
        <v>44531</v>
      </c>
      <c r="AR256" s="33">
        <f t="shared" si="50"/>
        <v>42</v>
      </c>
      <c r="AT256" s="59">
        <f t="shared" si="44"/>
        <v>44531</v>
      </c>
      <c r="AU256" s="33">
        <f t="shared" si="57"/>
        <v>38130</v>
      </c>
      <c r="AV256" s="33">
        <f t="shared" si="58"/>
        <v>62110</v>
      </c>
      <c r="AW256" s="33">
        <v>7.28</v>
      </c>
      <c r="AX256" s="111">
        <f t="shared" si="59"/>
        <v>30</v>
      </c>
      <c r="AY256" s="41">
        <f t="shared" si="55"/>
        <v>11439</v>
      </c>
      <c r="AZ256" s="41"/>
      <c r="BA256" s="41">
        <f t="shared" si="54"/>
        <v>24</v>
      </c>
      <c r="BB256" s="67">
        <f t="shared" si="51"/>
        <v>14906</v>
      </c>
      <c r="BC256" s="33">
        <v>38.776000000000003</v>
      </c>
      <c r="BD256" s="111">
        <f t="shared" si="60"/>
        <v>2</v>
      </c>
      <c r="BE256" s="112">
        <v>41380</v>
      </c>
      <c r="BF256" s="41">
        <v>1000</v>
      </c>
      <c r="BG256" s="41">
        <v>500</v>
      </c>
      <c r="BH256" s="113">
        <f t="shared" si="61"/>
        <v>1000</v>
      </c>
      <c r="BI256" s="115">
        <v>60480</v>
      </c>
      <c r="BJ256" s="41">
        <v>1250</v>
      </c>
      <c r="BK256" s="41">
        <v>700</v>
      </c>
      <c r="BL256" s="113">
        <f t="shared" si="62"/>
        <v>1250</v>
      </c>
      <c r="BM256" s="111">
        <f t="shared" si="53"/>
        <v>1000</v>
      </c>
      <c r="BN256" s="67">
        <f t="shared" si="47"/>
        <v>1250</v>
      </c>
    </row>
    <row r="257" spans="35:66" ht="22.5" hidden="1" customHeight="1">
      <c r="AI257" s="33">
        <f t="shared" si="48"/>
        <v>43</v>
      </c>
      <c r="AJ257" s="33" t="s">
        <v>302</v>
      </c>
      <c r="AK257" s="33">
        <v>1</v>
      </c>
      <c r="AL257" s="75">
        <v>2022</v>
      </c>
      <c r="AM257" s="33" t="str">
        <f t="shared" si="56"/>
        <v>Jan, 2022</v>
      </c>
      <c r="AN257" s="33">
        <f t="shared" si="49"/>
        <v>43</v>
      </c>
      <c r="AQ257" s="59">
        <v>44562</v>
      </c>
      <c r="AR257" s="33">
        <f t="shared" si="50"/>
        <v>43</v>
      </c>
      <c r="AT257" s="59">
        <f t="shared" si="44"/>
        <v>44562</v>
      </c>
      <c r="AU257" s="33">
        <f t="shared" si="57"/>
        <v>38130</v>
      </c>
      <c r="AV257" s="33">
        <f t="shared" si="58"/>
        <v>62110</v>
      </c>
      <c r="AW257" s="33">
        <v>7.28</v>
      </c>
      <c r="AX257" s="111">
        <f t="shared" si="59"/>
        <v>30</v>
      </c>
      <c r="AY257" s="41">
        <f t="shared" si="55"/>
        <v>11439</v>
      </c>
      <c r="AZ257" s="41"/>
      <c r="BA257" s="41">
        <f t="shared" si="54"/>
        <v>24</v>
      </c>
      <c r="BB257" s="67">
        <f t="shared" si="51"/>
        <v>14906</v>
      </c>
      <c r="BC257" s="33">
        <v>38.776000000000003</v>
      </c>
      <c r="BD257" s="111">
        <f t="shared" si="60"/>
        <v>2</v>
      </c>
      <c r="BE257" s="112">
        <v>42490</v>
      </c>
      <c r="BF257" s="41">
        <v>1000</v>
      </c>
      <c r="BG257" s="41">
        <v>500</v>
      </c>
      <c r="BH257" s="113">
        <f t="shared" si="61"/>
        <v>1000</v>
      </c>
      <c r="BI257" s="115">
        <v>62110</v>
      </c>
      <c r="BJ257" s="41">
        <v>1250</v>
      </c>
      <c r="BK257" s="41">
        <v>700</v>
      </c>
      <c r="BL257" s="113">
        <f t="shared" si="62"/>
        <v>1250</v>
      </c>
      <c r="BM257" s="111">
        <f t="shared" si="53"/>
        <v>1000</v>
      </c>
      <c r="BN257" s="67">
        <f t="shared" si="47"/>
        <v>1250</v>
      </c>
    </row>
    <row r="258" spans="35:66" ht="22.5" hidden="1" customHeight="1">
      <c r="AI258" s="33">
        <f t="shared" si="48"/>
        <v>44</v>
      </c>
      <c r="AJ258" s="33" t="s">
        <v>303</v>
      </c>
      <c r="AK258" s="33">
        <v>2</v>
      </c>
      <c r="AL258" s="75">
        <v>2022</v>
      </c>
      <c r="AM258" s="33" t="str">
        <f t="shared" si="56"/>
        <v>Feb, 2022</v>
      </c>
      <c r="AN258" s="33">
        <f t="shared" si="49"/>
        <v>44</v>
      </c>
      <c r="AQ258" s="59">
        <v>44593</v>
      </c>
      <c r="AR258" s="33">
        <f t="shared" si="50"/>
        <v>44</v>
      </c>
      <c r="AT258" s="59">
        <f t="shared" si="44"/>
        <v>44593</v>
      </c>
      <c r="AU258" s="33">
        <f t="shared" si="57"/>
        <v>38130</v>
      </c>
      <c r="AV258" s="33">
        <f t="shared" si="58"/>
        <v>62110</v>
      </c>
      <c r="AW258" s="33">
        <v>7.28</v>
      </c>
      <c r="AX258" s="111">
        <f t="shared" si="59"/>
        <v>30</v>
      </c>
      <c r="AY258" s="41">
        <f t="shared" si="55"/>
        <v>11439</v>
      </c>
      <c r="AZ258" s="41"/>
      <c r="BA258" s="41">
        <f t="shared" si="54"/>
        <v>24</v>
      </c>
      <c r="BB258" s="67">
        <f t="shared" si="51"/>
        <v>14906</v>
      </c>
      <c r="BC258" s="33">
        <v>38.776000000000003</v>
      </c>
      <c r="BD258" s="111">
        <f t="shared" si="60"/>
        <v>2</v>
      </c>
      <c r="BE258" s="112">
        <v>43680</v>
      </c>
      <c r="BF258" s="41">
        <v>1000</v>
      </c>
      <c r="BG258" s="41">
        <v>500</v>
      </c>
      <c r="BH258" s="113">
        <f t="shared" si="61"/>
        <v>1000</v>
      </c>
      <c r="BI258" s="115">
        <v>63840</v>
      </c>
      <c r="BJ258" s="41">
        <v>1250</v>
      </c>
      <c r="BK258" s="41">
        <v>700</v>
      </c>
      <c r="BL258" s="113">
        <f t="shared" si="62"/>
        <v>1250</v>
      </c>
      <c r="BM258" s="111">
        <f t="shared" si="53"/>
        <v>1000</v>
      </c>
      <c r="BN258" s="67">
        <f t="shared" si="47"/>
        <v>1250</v>
      </c>
    </row>
    <row r="259" spans="35:66" ht="22.5" hidden="1" customHeight="1">
      <c r="AI259" s="33">
        <f t="shared" si="48"/>
        <v>45</v>
      </c>
      <c r="AJ259" s="33" t="s">
        <v>304</v>
      </c>
      <c r="AK259" s="33">
        <v>3</v>
      </c>
      <c r="AL259" s="75">
        <v>2022</v>
      </c>
      <c r="AM259" s="33" t="str">
        <f t="shared" si="56"/>
        <v>Mar, 2022</v>
      </c>
      <c r="AN259" s="33">
        <f t="shared" si="49"/>
        <v>45</v>
      </c>
      <c r="AQ259" s="59">
        <v>44621</v>
      </c>
      <c r="AR259" s="33">
        <f t="shared" si="50"/>
        <v>45</v>
      </c>
      <c r="AT259" s="59">
        <f t="shared" si="44"/>
        <v>44621</v>
      </c>
      <c r="AU259" s="33">
        <f t="shared" si="57"/>
        <v>38130</v>
      </c>
      <c r="AV259" s="33">
        <f t="shared" si="58"/>
        <v>62110</v>
      </c>
      <c r="AW259" s="33">
        <v>7.28</v>
      </c>
      <c r="AX259" s="111">
        <f t="shared" si="59"/>
        <v>30</v>
      </c>
      <c r="AY259" s="41">
        <f t="shared" si="55"/>
        <v>11439</v>
      </c>
      <c r="AZ259" s="41"/>
      <c r="BA259" s="41">
        <f t="shared" si="54"/>
        <v>24</v>
      </c>
      <c r="BB259" s="67">
        <f t="shared" si="51"/>
        <v>14906</v>
      </c>
      <c r="BC259" s="33">
        <v>38.776000000000003</v>
      </c>
      <c r="BD259" s="111">
        <f t="shared" si="60"/>
        <v>2</v>
      </c>
      <c r="BE259" s="112">
        <v>44870</v>
      </c>
      <c r="BF259" s="41">
        <v>1000</v>
      </c>
      <c r="BG259" s="41">
        <v>500</v>
      </c>
      <c r="BH259" s="113">
        <f t="shared" si="61"/>
        <v>1000</v>
      </c>
      <c r="BI259" s="115">
        <v>65570</v>
      </c>
      <c r="BJ259" s="41">
        <v>1250</v>
      </c>
      <c r="BK259" s="41">
        <v>700</v>
      </c>
      <c r="BL259" s="113">
        <f t="shared" si="62"/>
        <v>1250</v>
      </c>
      <c r="BM259" s="111">
        <f t="shared" si="53"/>
        <v>1000</v>
      </c>
      <c r="BN259" s="67">
        <f t="shared" si="47"/>
        <v>1250</v>
      </c>
    </row>
    <row r="260" spans="35:66" ht="22.5" hidden="1" customHeight="1">
      <c r="AI260" s="33">
        <f t="shared" si="48"/>
        <v>46</v>
      </c>
      <c r="AJ260" s="33" t="s">
        <v>305</v>
      </c>
      <c r="AK260" s="33">
        <v>4</v>
      </c>
      <c r="AL260" s="75">
        <v>2022</v>
      </c>
      <c r="AM260" s="33" t="str">
        <f t="shared" si="56"/>
        <v>Apr, 2022</v>
      </c>
      <c r="AN260" s="33">
        <f t="shared" si="49"/>
        <v>46</v>
      </c>
      <c r="AQ260" s="59">
        <v>44652</v>
      </c>
      <c r="AR260" s="33">
        <f t="shared" si="50"/>
        <v>46</v>
      </c>
      <c r="AT260" s="59">
        <f t="shared" si="44"/>
        <v>44652</v>
      </c>
      <c r="AU260" s="33">
        <f t="shared" si="57"/>
        <v>38130</v>
      </c>
      <c r="AV260" s="33">
        <f t="shared" si="58"/>
        <v>62110</v>
      </c>
      <c r="AW260" s="33">
        <v>7.28</v>
      </c>
      <c r="AX260" s="111">
        <f t="shared" si="59"/>
        <v>30</v>
      </c>
      <c r="AY260" s="41">
        <f t="shared" si="55"/>
        <v>11439</v>
      </c>
      <c r="AZ260" s="41"/>
      <c r="BA260" s="41">
        <f t="shared" si="54"/>
        <v>24</v>
      </c>
      <c r="BB260" s="67">
        <f t="shared" si="51"/>
        <v>14906</v>
      </c>
      <c r="BC260" s="33">
        <v>38.776000000000003</v>
      </c>
      <c r="BD260" s="111">
        <f t="shared" si="60"/>
        <v>2</v>
      </c>
      <c r="BE260" s="112">
        <v>46060</v>
      </c>
      <c r="BF260" s="41">
        <v>1000</v>
      </c>
      <c r="BG260" s="41">
        <v>500</v>
      </c>
      <c r="BH260" s="113">
        <f t="shared" si="61"/>
        <v>1000</v>
      </c>
      <c r="BI260" s="115">
        <v>67300</v>
      </c>
      <c r="BJ260" s="41">
        <v>1250</v>
      </c>
      <c r="BK260" s="41">
        <v>700</v>
      </c>
      <c r="BL260" s="113">
        <f t="shared" si="62"/>
        <v>1250</v>
      </c>
      <c r="BM260" s="111">
        <f t="shared" si="53"/>
        <v>1000</v>
      </c>
      <c r="BN260" s="67">
        <f t="shared" si="47"/>
        <v>1250</v>
      </c>
    </row>
    <row r="261" spans="35:66" ht="22.5" hidden="1" customHeight="1">
      <c r="AI261" s="33">
        <f t="shared" si="48"/>
        <v>47</v>
      </c>
      <c r="AJ261" s="33" t="s">
        <v>306</v>
      </c>
      <c r="AK261" s="33">
        <v>5</v>
      </c>
      <c r="AL261" s="75">
        <v>2022</v>
      </c>
      <c r="AM261" s="33" t="str">
        <f t="shared" si="56"/>
        <v>May, 2022</v>
      </c>
      <c r="AN261" s="33">
        <f t="shared" si="49"/>
        <v>47</v>
      </c>
      <c r="AQ261" s="59">
        <v>44682</v>
      </c>
      <c r="AR261" s="33">
        <f t="shared" si="50"/>
        <v>47</v>
      </c>
      <c r="AT261" s="59">
        <f t="shared" si="44"/>
        <v>44682</v>
      </c>
      <c r="AU261" s="33">
        <f t="shared" si="57"/>
        <v>38130</v>
      </c>
      <c r="AV261" s="33">
        <f t="shared" si="58"/>
        <v>62110</v>
      </c>
      <c r="AW261" s="33">
        <v>7.28</v>
      </c>
      <c r="AX261" s="111">
        <f t="shared" si="59"/>
        <v>30</v>
      </c>
      <c r="AY261" s="41">
        <f t="shared" si="55"/>
        <v>11439</v>
      </c>
      <c r="AZ261" s="41"/>
      <c r="BA261" s="41">
        <f t="shared" si="54"/>
        <v>24</v>
      </c>
      <c r="BB261" s="67">
        <f t="shared" si="51"/>
        <v>14906</v>
      </c>
      <c r="BC261" s="33">
        <v>38.776000000000003</v>
      </c>
      <c r="BD261" s="111">
        <f t="shared" si="60"/>
        <v>2</v>
      </c>
      <c r="BE261" s="112">
        <v>47330</v>
      </c>
      <c r="BF261" s="41">
        <v>1000</v>
      </c>
      <c r="BG261" s="41">
        <v>500</v>
      </c>
      <c r="BH261" s="113">
        <f t="shared" si="61"/>
        <v>1000</v>
      </c>
      <c r="BI261" s="115">
        <v>69150</v>
      </c>
      <c r="BJ261" s="41">
        <v>1250</v>
      </c>
      <c r="BK261" s="41">
        <v>700</v>
      </c>
      <c r="BL261" s="113">
        <f t="shared" si="62"/>
        <v>1250</v>
      </c>
      <c r="BM261" s="111">
        <f t="shared" si="53"/>
        <v>1000</v>
      </c>
      <c r="BN261" s="67">
        <f t="shared" si="47"/>
        <v>1250</v>
      </c>
    </row>
    <row r="262" spans="35:66" ht="22.5" hidden="1" customHeight="1">
      <c r="AI262" s="33">
        <f t="shared" si="48"/>
        <v>48</v>
      </c>
      <c r="AJ262" s="33" t="s">
        <v>307</v>
      </c>
      <c r="AK262" s="33">
        <v>6</v>
      </c>
      <c r="AL262" s="75">
        <v>2022</v>
      </c>
      <c r="AM262" s="33" t="str">
        <f t="shared" si="56"/>
        <v>Jun, 2022</v>
      </c>
      <c r="AN262" s="33">
        <f t="shared" si="49"/>
        <v>48</v>
      </c>
      <c r="AQ262" s="59">
        <v>44713</v>
      </c>
      <c r="AR262" s="33">
        <f t="shared" si="50"/>
        <v>48</v>
      </c>
      <c r="AT262" s="59">
        <f t="shared" si="44"/>
        <v>44713</v>
      </c>
      <c r="AU262" s="33">
        <f t="shared" si="57"/>
        <v>38130</v>
      </c>
      <c r="AV262" s="33">
        <f t="shared" si="58"/>
        <v>62110</v>
      </c>
      <c r="AW262" s="33">
        <v>7.28</v>
      </c>
      <c r="AX262" s="111">
        <f t="shared" si="59"/>
        <v>30</v>
      </c>
      <c r="AY262" s="41">
        <f t="shared" si="55"/>
        <v>11439</v>
      </c>
      <c r="AZ262" s="41"/>
      <c r="BA262" s="41">
        <f t="shared" si="54"/>
        <v>24</v>
      </c>
      <c r="BB262" s="67">
        <f t="shared" si="51"/>
        <v>14906</v>
      </c>
      <c r="BC262" s="33">
        <v>38.776000000000003</v>
      </c>
      <c r="BD262" s="111">
        <f t="shared" si="60"/>
        <v>2</v>
      </c>
      <c r="BE262" s="112">
        <v>48600</v>
      </c>
      <c r="BF262" s="41">
        <v>1000</v>
      </c>
      <c r="BG262" s="41">
        <v>500</v>
      </c>
      <c r="BH262" s="113">
        <f t="shared" si="61"/>
        <v>1000</v>
      </c>
      <c r="BI262" s="115">
        <v>71000</v>
      </c>
      <c r="BJ262" s="41">
        <v>1250</v>
      </c>
      <c r="BK262" s="41">
        <v>700</v>
      </c>
      <c r="BL262" s="113">
        <f t="shared" si="62"/>
        <v>1250</v>
      </c>
      <c r="BM262" s="111">
        <f t="shared" si="53"/>
        <v>1000</v>
      </c>
      <c r="BN262" s="67">
        <f t="shared" si="47"/>
        <v>1250</v>
      </c>
    </row>
    <row r="263" spans="35:66" ht="22.5" hidden="1" customHeight="1">
      <c r="AI263" s="33">
        <f t="shared" si="48"/>
        <v>49</v>
      </c>
      <c r="AJ263" s="33" t="s">
        <v>296</v>
      </c>
      <c r="AK263" s="33">
        <v>7</v>
      </c>
      <c r="AL263" s="75">
        <v>2022</v>
      </c>
      <c r="AM263" s="33" t="str">
        <f t="shared" si="56"/>
        <v>Jul, 2022</v>
      </c>
      <c r="AN263" s="33">
        <f t="shared" si="49"/>
        <v>49</v>
      </c>
      <c r="AQ263" s="59">
        <v>44743</v>
      </c>
      <c r="AR263" s="33">
        <f t="shared" si="50"/>
        <v>49</v>
      </c>
      <c r="AT263" s="59">
        <f t="shared" si="44"/>
        <v>44743</v>
      </c>
      <c r="AU263" s="33">
        <f t="shared" si="57"/>
        <v>38130</v>
      </c>
      <c r="AV263" s="33">
        <f t="shared" si="58"/>
        <v>62110</v>
      </c>
      <c r="AW263" s="33">
        <v>7.28</v>
      </c>
      <c r="AX263" s="111">
        <f t="shared" si="59"/>
        <v>30</v>
      </c>
      <c r="AY263" s="41">
        <f t="shared" si="55"/>
        <v>11439</v>
      </c>
      <c r="AZ263" s="41"/>
      <c r="BA263" s="41">
        <f t="shared" si="54"/>
        <v>24</v>
      </c>
      <c r="BB263" s="67">
        <f t="shared" si="51"/>
        <v>14906</v>
      </c>
      <c r="BC263" s="33">
        <v>38.776000000000003</v>
      </c>
      <c r="BD263" s="111">
        <f t="shared" si="60"/>
        <v>2</v>
      </c>
      <c r="BE263" s="112">
        <v>49870</v>
      </c>
      <c r="BF263" s="41">
        <v>1000</v>
      </c>
      <c r="BG263" s="41">
        <v>500</v>
      </c>
      <c r="BH263" s="113">
        <f t="shared" si="61"/>
        <v>1000</v>
      </c>
      <c r="BI263" s="115">
        <v>72850</v>
      </c>
      <c r="BJ263" s="41">
        <v>1250</v>
      </c>
      <c r="BK263" s="41">
        <v>700</v>
      </c>
      <c r="BL263" s="113">
        <f t="shared" si="62"/>
        <v>1250</v>
      </c>
      <c r="BM263" s="111">
        <f t="shared" si="53"/>
        <v>1000</v>
      </c>
      <c r="BN263" s="67">
        <f t="shared" si="47"/>
        <v>1250</v>
      </c>
    </row>
    <row r="264" spans="35:66" ht="22.5" hidden="1" customHeight="1">
      <c r="AI264" s="33">
        <f t="shared" si="48"/>
        <v>50</v>
      </c>
      <c r="AJ264" s="33" t="s">
        <v>297</v>
      </c>
      <c r="AK264" s="33">
        <v>8</v>
      </c>
      <c r="AL264" s="75">
        <v>2022</v>
      </c>
      <c r="AM264" s="33" t="str">
        <f t="shared" si="56"/>
        <v>Aug, 2022</v>
      </c>
      <c r="AN264" s="33">
        <f t="shared" si="49"/>
        <v>50</v>
      </c>
      <c r="AQ264" s="59">
        <v>44774</v>
      </c>
      <c r="AR264" s="33">
        <f t="shared" si="50"/>
        <v>50</v>
      </c>
      <c r="AT264" s="59">
        <f t="shared" si="44"/>
        <v>44774</v>
      </c>
      <c r="AU264" s="33">
        <f t="shared" si="57"/>
        <v>38130</v>
      </c>
      <c r="AV264" s="33">
        <f t="shared" si="58"/>
        <v>62110</v>
      </c>
      <c r="AW264" s="33">
        <v>7.28</v>
      </c>
      <c r="AX264" s="111">
        <f t="shared" si="59"/>
        <v>30</v>
      </c>
      <c r="AY264" s="41">
        <f t="shared" si="55"/>
        <v>11439</v>
      </c>
      <c r="AZ264" s="41"/>
      <c r="BA264" s="41">
        <f t="shared" si="54"/>
        <v>24</v>
      </c>
      <c r="BB264" s="67">
        <f t="shared" si="51"/>
        <v>14906</v>
      </c>
      <c r="BC264" s="33">
        <v>38.776000000000003</v>
      </c>
      <c r="BD264" s="111">
        <f t="shared" si="60"/>
        <v>2</v>
      </c>
      <c r="BE264" s="112">
        <v>51230</v>
      </c>
      <c r="BF264" s="41">
        <v>1000</v>
      </c>
      <c r="BG264" s="41">
        <v>500</v>
      </c>
      <c r="BH264" s="113">
        <f t="shared" si="61"/>
        <v>1000</v>
      </c>
      <c r="BI264" s="115">
        <v>74840</v>
      </c>
      <c r="BJ264" s="41">
        <v>1250</v>
      </c>
      <c r="BK264" s="41">
        <v>700</v>
      </c>
      <c r="BL264" s="113">
        <f t="shared" si="62"/>
        <v>1250</v>
      </c>
      <c r="BM264" s="111">
        <f t="shared" si="53"/>
        <v>1000</v>
      </c>
      <c r="BN264" s="67">
        <f t="shared" si="47"/>
        <v>1250</v>
      </c>
    </row>
    <row r="265" spans="35:66" ht="22.5" hidden="1" customHeight="1">
      <c r="AI265" s="33">
        <f t="shared" si="48"/>
        <v>51</v>
      </c>
      <c r="AJ265" s="33" t="s">
        <v>298</v>
      </c>
      <c r="AK265" s="33">
        <v>9</v>
      </c>
      <c r="AL265" s="75">
        <v>2022</v>
      </c>
      <c r="AM265" s="33" t="str">
        <f t="shared" si="56"/>
        <v>Sep, 2022</v>
      </c>
      <c r="AN265" s="33">
        <f t="shared" si="49"/>
        <v>51</v>
      </c>
      <c r="AQ265" s="59">
        <v>44805</v>
      </c>
      <c r="AR265" s="33">
        <f t="shared" si="50"/>
        <v>51</v>
      </c>
      <c r="AT265" s="59">
        <f t="shared" si="44"/>
        <v>44805</v>
      </c>
      <c r="AU265" s="33">
        <f t="shared" si="57"/>
        <v>38130</v>
      </c>
      <c r="AV265" s="33">
        <f t="shared" si="58"/>
        <v>62110</v>
      </c>
      <c r="AW265" s="33">
        <v>7.28</v>
      </c>
      <c r="AX265" s="111">
        <f t="shared" si="59"/>
        <v>30</v>
      </c>
      <c r="AY265" s="41">
        <f t="shared" si="55"/>
        <v>11439</v>
      </c>
      <c r="AZ265" s="41"/>
      <c r="BA265" s="41">
        <f t="shared" si="54"/>
        <v>24</v>
      </c>
      <c r="BB265" s="67">
        <f t="shared" si="51"/>
        <v>14906</v>
      </c>
      <c r="BC265" s="33">
        <v>38.776000000000003</v>
      </c>
      <c r="BD265" s="111">
        <f t="shared" si="60"/>
        <v>2</v>
      </c>
      <c r="BE265" s="112">
        <v>52590</v>
      </c>
      <c r="BF265" s="41">
        <v>1000</v>
      </c>
      <c r="BG265" s="41">
        <v>500</v>
      </c>
      <c r="BH265" s="113">
        <f t="shared" si="61"/>
        <v>1000</v>
      </c>
      <c r="BI265" s="115">
        <v>76830</v>
      </c>
      <c r="BJ265" s="41">
        <v>1250</v>
      </c>
      <c r="BK265" s="41">
        <v>700</v>
      </c>
      <c r="BL265" s="113">
        <f t="shared" si="62"/>
        <v>1250</v>
      </c>
      <c r="BM265" s="111">
        <f t="shared" si="53"/>
        <v>1000</v>
      </c>
      <c r="BN265" s="67">
        <f t="shared" si="47"/>
        <v>1250</v>
      </c>
    </row>
    <row r="266" spans="35:66" ht="22.5" hidden="1" customHeight="1">
      <c r="AI266" s="33">
        <f t="shared" si="48"/>
        <v>52</v>
      </c>
      <c r="AJ266" s="33" t="s">
        <v>299</v>
      </c>
      <c r="AK266" s="33">
        <v>10</v>
      </c>
      <c r="AL266" s="75">
        <v>2022</v>
      </c>
      <c r="AM266" s="33" t="str">
        <f t="shared" si="56"/>
        <v>Oct, 2022</v>
      </c>
      <c r="AN266" s="33">
        <f t="shared" si="49"/>
        <v>52</v>
      </c>
      <c r="AQ266" s="59">
        <v>44835</v>
      </c>
      <c r="AR266" s="33">
        <f t="shared" si="50"/>
        <v>52</v>
      </c>
      <c r="AT266" s="59">
        <f t="shared" si="44"/>
        <v>44835</v>
      </c>
      <c r="AU266" s="33">
        <f t="shared" si="57"/>
        <v>38130</v>
      </c>
      <c r="AV266" s="33">
        <f t="shared" si="58"/>
        <v>62110</v>
      </c>
      <c r="AW266" s="33">
        <v>7.28</v>
      </c>
      <c r="AX266" s="111">
        <f t="shared" si="59"/>
        <v>30</v>
      </c>
      <c r="AY266" s="41">
        <f t="shared" si="55"/>
        <v>11439</v>
      </c>
      <c r="AZ266" s="41"/>
      <c r="BA266" s="41">
        <f t="shared" si="54"/>
        <v>24</v>
      </c>
      <c r="BB266" s="67">
        <f t="shared" si="51"/>
        <v>14906</v>
      </c>
      <c r="BC266" s="33">
        <v>38.776000000000003</v>
      </c>
      <c r="BD266" s="111">
        <f t="shared" si="60"/>
        <v>2</v>
      </c>
      <c r="BE266" s="112">
        <v>53950</v>
      </c>
      <c r="BF266" s="41">
        <v>1000</v>
      </c>
      <c r="BG266" s="41">
        <v>500</v>
      </c>
      <c r="BH266" s="113">
        <f t="shared" si="61"/>
        <v>1000</v>
      </c>
      <c r="BI266" s="115">
        <v>78820</v>
      </c>
      <c r="BJ266" s="41">
        <v>1250</v>
      </c>
      <c r="BK266" s="41">
        <v>700</v>
      </c>
      <c r="BL266" s="113">
        <f t="shared" si="62"/>
        <v>1250</v>
      </c>
      <c r="BM266" s="111">
        <f t="shared" si="53"/>
        <v>1000</v>
      </c>
      <c r="BN266" s="67">
        <f t="shared" si="47"/>
        <v>1250</v>
      </c>
    </row>
    <row r="267" spans="35:66" ht="22.5" hidden="1" customHeight="1">
      <c r="AI267" s="33">
        <f t="shared" si="48"/>
        <v>53</v>
      </c>
      <c r="AJ267" s="33" t="s">
        <v>300</v>
      </c>
      <c r="AK267" s="33">
        <v>11</v>
      </c>
      <c r="AL267" s="75">
        <v>2022</v>
      </c>
      <c r="AM267" s="33" t="str">
        <f t="shared" si="56"/>
        <v>Nov, 2022</v>
      </c>
      <c r="AN267" s="33">
        <f t="shared" si="49"/>
        <v>53</v>
      </c>
      <c r="AQ267" s="59">
        <v>44866</v>
      </c>
      <c r="AR267" s="33">
        <f t="shared" si="50"/>
        <v>53</v>
      </c>
      <c r="AT267" s="59">
        <f t="shared" si="44"/>
        <v>44866</v>
      </c>
      <c r="AU267" s="33">
        <f t="shared" si="57"/>
        <v>38130</v>
      </c>
      <c r="AV267" s="33">
        <f t="shared" si="58"/>
        <v>62110</v>
      </c>
      <c r="AW267" s="33">
        <v>7.28</v>
      </c>
      <c r="AX267" s="111">
        <f t="shared" si="59"/>
        <v>30</v>
      </c>
      <c r="AY267" s="41">
        <f t="shared" si="55"/>
        <v>11439</v>
      </c>
      <c r="AZ267" s="41"/>
      <c r="BA267" s="41">
        <f t="shared" si="54"/>
        <v>24</v>
      </c>
      <c r="BB267" s="67">
        <f t="shared" si="51"/>
        <v>14906</v>
      </c>
      <c r="BC267" s="33">
        <v>38.776000000000003</v>
      </c>
      <c r="BD267" s="111">
        <f t="shared" si="60"/>
        <v>2</v>
      </c>
      <c r="BE267" s="112">
        <v>55410</v>
      </c>
      <c r="BF267" s="41">
        <v>1000</v>
      </c>
      <c r="BG267" s="41">
        <v>500</v>
      </c>
      <c r="BH267" s="113">
        <f t="shared" si="61"/>
        <v>1000</v>
      </c>
      <c r="BI267" s="115">
        <v>80960</v>
      </c>
      <c r="BJ267" s="41">
        <v>1250</v>
      </c>
      <c r="BK267" s="41">
        <v>700</v>
      </c>
      <c r="BL267" s="113">
        <f t="shared" si="62"/>
        <v>1250</v>
      </c>
      <c r="BM267" s="111">
        <f t="shared" si="53"/>
        <v>1000</v>
      </c>
      <c r="BN267" s="67">
        <f t="shared" si="47"/>
        <v>1250</v>
      </c>
    </row>
    <row r="268" spans="35:66" ht="22.5" hidden="1" customHeight="1">
      <c r="AI268" s="33">
        <f t="shared" si="48"/>
        <v>54</v>
      </c>
      <c r="AJ268" s="33" t="s">
        <v>301</v>
      </c>
      <c r="AK268" s="33">
        <v>12</v>
      </c>
      <c r="AL268" s="75">
        <v>2022</v>
      </c>
      <c r="AM268" s="33" t="str">
        <f t="shared" si="56"/>
        <v>Dec, 2022</v>
      </c>
      <c r="AN268" s="33">
        <f t="shared" si="49"/>
        <v>54</v>
      </c>
      <c r="AQ268" s="59">
        <v>44896</v>
      </c>
      <c r="AR268" s="33">
        <f t="shared" si="50"/>
        <v>54</v>
      </c>
      <c r="AT268" s="59">
        <f t="shared" si="44"/>
        <v>44896</v>
      </c>
      <c r="AU268" s="33">
        <f t="shared" si="57"/>
        <v>38130</v>
      </c>
      <c r="AV268" s="33">
        <f t="shared" si="58"/>
        <v>62110</v>
      </c>
      <c r="AW268" s="33">
        <v>7.28</v>
      </c>
      <c r="AX268" s="111">
        <f t="shared" si="59"/>
        <v>30</v>
      </c>
      <c r="AY268" s="41">
        <f t="shared" si="55"/>
        <v>11439</v>
      </c>
      <c r="AZ268" s="41"/>
      <c r="BA268" s="41">
        <f t="shared" si="54"/>
        <v>24</v>
      </c>
      <c r="BB268" s="67">
        <f t="shared" si="51"/>
        <v>14906</v>
      </c>
      <c r="BC268" s="33">
        <v>38.776000000000003</v>
      </c>
      <c r="BD268" s="111">
        <f t="shared" si="60"/>
        <v>2</v>
      </c>
      <c r="BE268" s="112">
        <v>56870</v>
      </c>
      <c r="BF268" s="41">
        <v>1000</v>
      </c>
      <c r="BG268" s="41">
        <v>500</v>
      </c>
      <c r="BH268" s="113">
        <f t="shared" si="61"/>
        <v>1000</v>
      </c>
      <c r="BI268" s="115">
        <v>83100</v>
      </c>
      <c r="BJ268" s="41">
        <v>1250</v>
      </c>
      <c r="BK268" s="41">
        <v>700</v>
      </c>
      <c r="BL268" s="113">
        <f t="shared" si="62"/>
        <v>1250</v>
      </c>
      <c r="BM268" s="111">
        <f t="shared" si="53"/>
        <v>1000</v>
      </c>
      <c r="BN268" s="67">
        <f t="shared" si="47"/>
        <v>1250</v>
      </c>
    </row>
    <row r="269" spans="35:66" ht="22.5" hidden="1" customHeight="1">
      <c r="AI269" s="33">
        <f t="shared" si="48"/>
        <v>55</v>
      </c>
      <c r="AJ269" s="33" t="s">
        <v>302</v>
      </c>
      <c r="AK269" s="33">
        <v>1</v>
      </c>
      <c r="AL269" s="75">
        <v>2022</v>
      </c>
      <c r="AN269" s="33">
        <f t="shared" si="49"/>
        <v>55</v>
      </c>
      <c r="AQ269" s="59">
        <v>44562</v>
      </c>
      <c r="AR269" s="33">
        <f t="shared" si="50"/>
        <v>55</v>
      </c>
      <c r="AT269" s="59">
        <f t="shared" si="44"/>
        <v>44562</v>
      </c>
      <c r="AU269" s="33">
        <f t="shared" si="57"/>
        <v>38130</v>
      </c>
      <c r="AV269" s="33">
        <f t="shared" si="58"/>
        <v>62110</v>
      </c>
      <c r="AW269" s="33">
        <v>7.28</v>
      </c>
      <c r="AX269" s="111">
        <f t="shared" si="59"/>
        <v>30</v>
      </c>
      <c r="AY269" s="41">
        <f t="shared" si="55"/>
        <v>11439</v>
      </c>
      <c r="AZ269" s="41"/>
      <c r="BA269" s="41">
        <f t="shared" si="54"/>
        <v>24</v>
      </c>
      <c r="BB269" s="67">
        <f t="shared" si="51"/>
        <v>14906</v>
      </c>
      <c r="BC269" s="33">
        <v>38.776000000000003</v>
      </c>
      <c r="BD269" s="111">
        <f t="shared" si="60"/>
        <v>2</v>
      </c>
      <c r="BE269" s="112">
        <v>58330</v>
      </c>
      <c r="BF269" s="41">
        <v>1000</v>
      </c>
      <c r="BG269" s="41">
        <v>500</v>
      </c>
      <c r="BH269" s="113">
        <f t="shared" si="61"/>
        <v>1000</v>
      </c>
      <c r="BI269" s="115">
        <v>85240</v>
      </c>
      <c r="BJ269" s="41">
        <v>1250</v>
      </c>
      <c r="BK269" s="41">
        <v>700</v>
      </c>
      <c r="BL269" s="113">
        <f t="shared" si="62"/>
        <v>1250</v>
      </c>
      <c r="BM269" s="111">
        <f t="shared" si="53"/>
        <v>1000</v>
      </c>
      <c r="BN269" s="67">
        <f t="shared" si="47"/>
        <v>1250</v>
      </c>
    </row>
    <row r="270" spans="35:66" ht="22.5" hidden="1" customHeight="1">
      <c r="AI270" s="33">
        <f t="shared" si="48"/>
        <v>56</v>
      </c>
      <c r="AJ270" s="33" t="s">
        <v>303</v>
      </c>
      <c r="AK270" s="33">
        <v>2</v>
      </c>
      <c r="AL270" s="75">
        <v>2022</v>
      </c>
      <c r="AN270" s="33">
        <f t="shared" si="49"/>
        <v>56</v>
      </c>
      <c r="AQ270" s="59">
        <v>44593</v>
      </c>
      <c r="AR270" s="33">
        <f t="shared" si="50"/>
        <v>56</v>
      </c>
      <c r="AT270" s="59">
        <f t="shared" si="44"/>
        <v>44593</v>
      </c>
      <c r="AU270" s="33">
        <f t="shared" si="57"/>
        <v>38130</v>
      </c>
      <c r="AV270" s="33">
        <f t="shared" si="58"/>
        <v>62110</v>
      </c>
      <c r="AW270" s="33">
        <v>7.28</v>
      </c>
      <c r="AX270" s="111">
        <f t="shared" si="59"/>
        <v>30</v>
      </c>
      <c r="AY270" s="41">
        <f t="shared" si="55"/>
        <v>11439</v>
      </c>
      <c r="AZ270" s="41"/>
      <c r="BA270" s="41">
        <f t="shared" si="54"/>
        <v>24</v>
      </c>
      <c r="BB270" s="67">
        <f t="shared" si="51"/>
        <v>14906</v>
      </c>
      <c r="BC270" s="33">
        <v>38.776000000000003</v>
      </c>
      <c r="BD270" s="111">
        <f t="shared" si="60"/>
        <v>2</v>
      </c>
      <c r="BE270" s="112">
        <v>59890</v>
      </c>
      <c r="BF270" s="41">
        <v>1000</v>
      </c>
      <c r="BG270" s="41">
        <v>500</v>
      </c>
      <c r="BH270" s="113">
        <f t="shared" si="61"/>
        <v>1000</v>
      </c>
      <c r="BI270" s="115">
        <v>87510</v>
      </c>
      <c r="BJ270" s="41">
        <v>1250</v>
      </c>
      <c r="BK270" s="41">
        <v>700</v>
      </c>
      <c r="BL270" s="113">
        <f t="shared" si="62"/>
        <v>1250</v>
      </c>
      <c r="BM270" s="111">
        <f t="shared" si="53"/>
        <v>1000</v>
      </c>
      <c r="BN270" s="67">
        <f t="shared" si="47"/>
        <v>1250</v>
      </c>
    </row>
    <row r="271" spans="35:66" ht="22.5" hidden="1" customHeight="1">
      <c r="AI271" s="33">
        <f t="shared" si="48"/>
        <v>57</v>
      </c>
      <c r="AJ271" s="33" t="s">
        <v>304</v>
      </c>
      <c r="AK271" s="33">
        <v>3</v>
      </c>
      <c r="AL271" s="75">
        <v>2022</v>
      </c>
      <c r="AN271" s="33">
        <f t="shared" si="49"/>
        <v>57</v>
      </c>
      <c r="AQ271" s="59">
        <v>44621</v>
      </c>
      <c r="AR271" s="33">
        <f t="shared" si="50"/>
        <v>57</v>
      </c>
      <c r="AT271" s="59">
        <f t="shared" si="44"/>
        <v>44621</v>
      </c>
      <c r="AU271" s="33">
        <f t="shared" si="57"/>
        <v>38130</v>
      </c>
      <c r="AV271" s="33">
        <f t="shared" si="58"/>
        <v>62110</v>
      </c>
      <c r="AW271" s="33">
        <v>7.28</v>
      </c>
      <c r="AX271" s="111">
        <f t="shared" si="59"/>
        <v>30</v>
      </c>
      <c r="AY271" s="41">
        <f t="shared" si="55"/>
        <v>11439</v>
      </c>
      <c r="AZ271" s="41"/>
      <c r="BA271" s="41">
        <f t="shared" si="54"/>
        <v>24</v>
      </c>
      <c r="BB271" s="67">
        <f t="shared" si="51"/>
        <v>14906</v>
      </c>
      <c r="BC271" s="33">
        <v>38.776000000000003</v>
      </c>
      <c r="BD271" s="111">
        <f t="shared" si="60"/>
        <v>2</v>
      </c>
      <c r="BE271" s="112">
        <v>61450</v>
      </c>
      <c r="BF271" s="41">
        <v>1000</v>
      </c>
      <c r="BG271" s="41">
        <v>500</v>
      </c>
      <c r="BH271" s="113">
        <f t="shared" si="61"/>
        <v>1000</v>
      </c>
      <c r="BI271" s="115">
        <v>89780</v>
      </c>
      <c r="BJ271" s="41">
        <v>1250</v>
      </c>
      <c r="BK271" s="41">
        <v>700</v>
      </c>
      <c r="BL271" s="113">
        <f t="shared" si="62"/>
        <v>1250</v>
      </c>
      <c r="BM271" s="111">
        <f t="shared" si="53"/>
        <v>1000</v>
      </c>
      <c r="BN271" s="67">
        <f t="shared" si="47"/>
        <v>1250</v>
      </c>
    </row>
    <row r="272" spans="35:66" ht="22.5" hidden="1" customHeight="1">
      <c r="AI272" s="33">
        <f t="shared" si="48"/>
        <v>58</v>
      </c>
      <c r="AJ272" s="33" t="s">
        <v>305</v>
      </c>
      <c r="AK272" s="33">
        <v>4</v>
      </c>
      <c r="AL272" s="75">
        <v>2022</v>
      </c>
      <c r="AN272" s="33">
        <f t="shared" si="49"/>
        <v>58</v>
      </c>
      <c r="AQ272" s="59">
        <v>44652</v>
      </c>
      <c r="AR272" s="33">
        <f t="shared" si="50"/>
        <v>58</v>
      </c>
      <c r="AT272" s="59">
        <f t="shared" si="44"/>
        <v>44652</v>
      </c>
      <c r="AU272" s="33">
        <f t="shared" si="57"/>
        <v>38130</v>
      </c>
      <c r="AV272" s="33">
        <f t="shared" si="58"/>
        <v>62110</v>
      </c>
      <c r="AW272" s="33">
        <v>7.28</v>
      </c>
      <c r="AX272" s="111">
        <f t="shared" si="59"/>
        <v>30</v>
      </c>
      <c r="AY272" s="41">
        <f t="shared" si="55"/>
        <v>11439</v>
      </c>
      <c r="AZ272" s="41"/>
      <c r="BA272" s="41">
        <f t="shared" si="54"/>
        <v>24</v>
      </c>
      <c r="BB272" s="67">
        <f t="shared" si="51"/>
        <v>14906</v>
      </c>
      <c r="BC272" s="33">
        <v>38.776000000000003</v>
      </c>
      <c r="BD272" s="111">
        <f t="shared" si="60"/>
        <v>2</v>
      </c>
      <c r="BE272" s="112">
        <v>63010</v>
      </c>
      <c r="BF272" s="41">
        <v>1000</v>
      </c>
      <c r="BG272" s="41">
        <v>500</v>
      </c>
      <c r="BH272" s="113">
        <f t="shared" si="61"/>
        <v>1000</v>
      </c>
      <c r="BI272" s="115">
        <v>92050</v>
      </c>
      <c r="BJ272" s="41">
        <v>1250</v>
      </c>
      <c r="BK272" s="41">
        <v>700</v>
      </c>
      <c r="BL272" s="113">
        <f t="shared" si="62"/>
        <v>1250</v>
      </c>
      <c r="BM272" s="111">
        <f t="shared" si="53"/>
        <v>1000</v>
      </c>
      <c r="BN272" s="67">
        <f t="shared" si="47"/>
        <v>1250</v>
      </c>
    </row>
    <row r="273" spans="35:66" ht="22.5" hidden="1" customHeight="1">
      <c r="AI273" s="33">
        <f t="shared" si="48"/>
        <v>59</v>
      </c>
      <c r="AJ273" s="33" t="s">
        <v>306</v>
      </c>
      <c r="AK273" s="33">
        <v>5</v>
      </c>
      <c r="AL273" s="75">
        <v>2022</v>
      </c>
      <c r="AN273" s="33">
        <f t="shared" si="49"/>
        <v>59</v>
      </c>
      <c r="AQ273" s="59">
        <v>44682</v>
      </c>
      <c r="AR273" s="33">
        <f t="shared" si="50"/>
        <v>59</v>
      </c>
      <c r="AT273" s="59">
        <f t="shared" si="44"/>
        <v>44682</v>
      </c>
      <c r="AU273" s="33">
        <f t="shared" si="57"/>
        <v>38130</v>
      </c>
      <c r="AV273" s="33">
        <f t="shared" si="58"/>
        <v>62110</v>
      </c>
      <c r="AW273" s="33">
        <v>7.28</v>
      </c>
      <c r="AX273" s="111">
        <f t="shared" si="59"/>
        <v>30</v>
      </c>
      <c r="AY273" s="41">
        <f t="shared" si="55"/>
        <v>11439</v>
      </c>
      <c r="AZ273" s="41"/>
      <c r="BA273" s="41">
        <f t="shared" si="54"/>
        <v>24</v>
      </c>
      <c r="BB273" s="67">
        <f t="shared" si="51"/>
        <v>14906</v>
      </c>
      <c r="BC273" s="33">
        <v>38.776000000000003</v>
      </c>
      <c r="BD273" s="111">
        <f t="shared" si="60"/>
        <v>2</v>
      </c>
      <c r="BE273" s="112">
        <v>64670</v>
      </c>
      <c r="BF273" s="41">
        <v>1000</v>
      </c>
      <c r="BG273" s="41">
        <v>500</v>
      </c>
      <c r="BH273" s="113">
        <f t="shared" si="61"/>
        <v>1000</v>
      </c>
      <c r="BI273" s="115">
        <v>94470</v>
      </c>
      <c r="BJ273" s="41">
        <v>1250</v>
      </c>
      <c r="BK273" s="41">
        <v>700</v>
      </c>
      <c r="BL273" s="113">
        <f t="shared" si="62"/>
        <v>1250</v>
      </c>
      <c r="BM273" s="111">
        <f t="shared" si="53"/>
        <v>1000</v>
      </c>
      <c r="BN273" s="67">
        <f t="shared" si="47"/>
        <v>1250</v>
      </c>
    </row>
    <row r="274" spans="35:66" ht="22.5" hidden="1" customHeight="1">
      <c r="AI274" s="33">
        <f t="shared" si="48"/>
        <v>60</v>
      </c>
      <c r="AJ274" s="33" t="s">
        <v>307</v>
      </c>
      <c r="AK274" s="33">
        <v>6</v>
      </c>
      <c r="AL274" s="75">
        <v>2022</v>
      </c>
      <c r="AN274" s="33">
        <f t="shared" si="49"/>
        <v>60</v>
      </c>
      <c r="AQ274" s="59">
        <v>44713</v>
      </c>
      <c r="AR274" s="33">
        <f t="shared" si="50"/>
        <v>60</v>
      </c>
      <c r="AT274" s="59">
        <f t="shared" si="44"/>
        <v>44713</v>
      </c>
      <c r="AU274" s="33">
        <f t="shared" si="57"/>
        <v>38130</v>
      </c>
      <c r="AV274" s="33">
        <f t="shared" si="58"/>
        <v>62110</v>
      </c>
      <c r="AW274" s="33">
        <v>7.28</v>
      </c>
      <c r="AX274" s="111">
        <f t="shared" si="59"/>
        <v>30</v>
      </c>
      <c r="AY274" s="41">
        <f t="shared" si="55"/>
        <v>11439</v>
      </c>
      <c r="AZ274" s="41"/>
      <c r="BA274" s="41">
        <f t="shared" si="54"/>
        <v>24</v>
      </c>
      <c r="BB274" s="67">
        <f t="shared" si="51"/>
        <v>14906</v>
      </c>
      <c r="BC274" s="33">
        <v>38.776000000000003</v>
      </c>
      <c r="BD274" s="111">
        <f t="shared" si="60"/>
        <v>2</v>
      </c>
      <c r="BE274" s="112">
        <v>66330</v>
      </c>
      <c r="BF274" s="41">
        <v>1000</v>
      </c>
      <c r="BG274" s="41">
        <v>500</v>
      </c>
      <c r="BH274" s="113">
        <f t="shared" si="61"/>
        <v>1000</v>
      </c>
      <c r="BI274" s="115">
        <v>96890</v>
      </c>
      <c r="BJ274" s="41">
        <v>1250</v>
      </c>
      <c r="BK274" s="41">
        <v>700</v>
      </c>
      <c r="BL274" s="113">
        <f t="shared" si="62"/>
        <v>1250</v>
      </c>
      <c r="BM274" s="111">
        <f t="shared" si="53"/>
        <v>1000</v>
      </c>
      <c r="BN274" s="67">
        <f t="shared" si="47"/>
        <v>1250</v>
      </c>
    </row>
    <row r="275" spans="35:66" ht="22.5" hidden="1" customHeight="1">
      <c r="AI275" s="33">
        <f t="shared" si="48"/>
        <v>61</v>
      </c>
      <c r="AJ275" s="33" t="s">
        <v>296</v>
      </c>
      <c r="AK275" s="33">
        <v>7</v>
      </c>
      <c r="AL275" s="75">
        <v>2022</v>
      </c>
      <c r="AN275" s="33">
        <f t="shared" si="49"/>
        <v>61</v>
      </c>
      <c r="AQ275" s="59">
        <v>44743</v>
      </c>
      <c r="AR275" s="33">
        <f t="shared" si="50"/>
        <v>61</v>
      </c>
      <c r="AT275" s="59">
        <f t="shared" si="44"/>
        <v>44743</v>
      </c>
      <c r="AU275" s="33">
        <f t="shared" si="57"/>
        <v>38130</v>
      </c>
      <c r="AV275" s="33">
        <f t="shared" si="58"/>
        <v>62110</v>
      </c>
      <c r="AW275" s="33">
        <v>7.28</v>
      </c>
      <c r="AX275" s="111">
        <f t="shared" si="59"/>
        <v>30</v>
      </c>
      <c r="AY275" s="41">
        <f t="shared" si="55"/>
        <v>11439</v>
      </c>
      <c r="AZ275" s="41"/>
      <c r="BA275" s="41">
        <f t="shared" si="54"/>
        <v>24</v>
      </c>
      <c r="BB275" s="67">
        <f t="shared" si="51"/>
        <v>14906</v>
      </c>
      <c r="BC275" s="33">
        <v>38.776000000000003</v>
      </c>
      <c r="BD275" s="111">
        <f t="shared" si="60"/>
        <v>2</v>
      </c>
      <c r="BE275" s="112">
        <v>67990</v>
      </c>
      <c r="BF275" s="41">
        <v>1000</v>
      </c>
      <c r="BG275" s="41">
        <v>500</v>
      </c>
      <c r="BH275" s="113">
        <f t="shared" si="61"/>
        <v>1000</v>
      </c>
      <c r="BI275" s="115">
        <v>99310</v>
      </c>
      <c r="BJ275" s="41">
        <v>1250</v>
      </c>
      <c r="BK275" s="41">
        <v>700</v>
      </c>
      <c r="BL275" s="113">
        <f t="shared" si="62"/>
        <v>1250</v>
      </c>
      <c r="BM275" s="111">
        <f t="shared" si="53"/>
        <v>1000</v>
      </c>
      <c r="BN275" s="67">
        <f t="shared" si="47"/>
        <v>1250</v>
      </c>
    </row>
    <row r="276" spans="35:66" ht="22.5" hidden="1" customHeight="1">
      <c r="AI276" s="33">
        <f t="shared" si="48"/>
        <v>62</v>
      </c>
      <c r="AJ276" s="33" t="s">
        <v>297</v>
      </c>
      <c r="AK276" s="33">
        <v>8</v>
      </c>
      <c r="AL276" s="75">
        <v>2022</v>
      </c>
      <c r="AN276" s="33">
        <f t="shared" si="49"/>
        <v>62</v>
      </c>
      <c r="AQ276" s="59">
        <v>44774</v>
      </c>
      <c r="AR276" s="33">
        <f t="shared" si="50"/>
        <v>62</v>
      </c>
      <c r="AT276" s="59">
        <f t="shared" si="44"/>
        <v>44774</v>
      </c>
      <c r="AU276" s="33">
        <f t="shared" si="57"/>
        <v>38130</v>
      </c>
      <c r="AV276" s="33">
        <f t="shared" si="58"/>
        <v>62110</v>
      </c>
      <c r="AW276" s="33">
        <v>7.28</v>
      </c>
      <c r="AX276" s="111">
        <f t="shared" si="59"/>
        <v>30</v>
      </c>
      <c r="AY276" s="41">
        <f t="shared" si="55"/>
        <v>11439</v>
      </c>
      <c r="AZ276" s="41"/>
      <c r="BA276" s="41">
        <f t="shared" si="54"/>
        <v>24</v>
      </c>
      <c r="BB276" s="67">
        <f t="shared" si="51"/>
        <v>14906</v>
      </c>
      <c r="BC276" s="33">
        <v>38.776000000000003</v>
      </c>
      <c r="BD276" s="111">
        <f t="shared" si="60"/>
        <v>2</v>
      </c>
      <c r="BE276" s="112">
        <v>69750</v>
      </c>
      <c r="BF276" s="41">
        <v>1000</v>
      </c>
      <c r="BG276" s="41">
        <v>500</v>
      </c>
      <c r="BH276" s="113">
        <f t="shared" si="61"/>
        <v>1000</v>
      </c>
      <c r="BI276" s="115">
        <v>101870</v>
      </c>
      <c r="BJ276" s="41">
        <v>1250</v>
      </c>
      <c r="BK276" s="41">
        <v>700</v>
      </c>
      <c r="BL276" s="113">
        <f t="shared" si="62"/>
        <v>1250</v>
      </c>
      <c r="BM276" s="111">
        <f t="shared" si="53"/>
        <v>1000</v>
      </c>
      <c r="BN276" s="67">
        <f t="shared" si="47"/>
        <v>1250</v>
      </c>
    </row>
    <row r="277" spans="35:66" ht="22.5" hidden="1" customHeight="1">
      <c r="AI277" s="33">
        <f t="shared" si="48"/>
        <v>63</v>
      </c>
      <c r="AJ277" s="33" t="s">
        <v>298</v>
      </c>
      <c r="AK277" s="33">
        <v>9</v>
      </c>
      <c r="AL277" s="75">
        <v>2022</v>
      </c>
      <c r="AN277" s="33">
        <f t="shared" si="49"/>
        <v>63</v>
      </c>
      <c r="AQ277" s="59">
        <v>44805</v>
      </c>
      <c r="AR277" s="33">
        <f t="shared" si="50"/>
        <v>63</v>
      </c>
      <c r="AT277" s="59">
        <f t="shared" si="44"/>
        <v>44805</v>
      </c>
      <c r="AU277" s="33">
        <f t="shared" si="57"/>
        <v>38130</v>
      </c>
      <c r="AV277" s="33">
        <f t="shared" si="58"/>
        <v>62110</v>
      </c>
      <c r="AW277" s="33">
        <v>7.28</v>
      </c>
      <c r="AX277" s="111">
        <f t="shared" si="59"/>
        <v>30</v>
      </c>
      <c r="AY277" s="41">
        <f t="shared" si="55"/>
        <v>11439</v>
      </c>
      <c r="AZ277" s="41"/>
      <c r="BA277" s="41">
        <f t="shared" si="54"/>
        <v>24</v>
      </c>
      <c r="BB277" s="67">
        <f t="shared" si="51"/>
        <v>14906</v>
      </c>
      <c r="BC277" s="33">
        <v>38.776000000000003</v>
      </c>
      <c r="BD277" s="111">
        <f t="shared" si="60"/>
        <v>2</v>
      </c>
      <c r="BE277" s="112">
        <v>71510</v>
      </c>
      <c r="BF277" s="41">
        <v>1000</v>
      </c>
      <c r="BG277" s="41">
        <v>500</v>
      </c>
      <c r="BH277" s="113">
        <f t="shared" si="61"/>
        <v>1000</v>
      </c>
      <c r="BI277" s="115">
        <v>104430</v>
      </c>
      <c r="BJ277" s="41">
        <v>1250</v>
      </c>
      <c r="BK277" s="41">
        <v>700</v>
      </c>
      <c r="BL277" s="113">
        <f t="shared" si="62"/>
        <v>1250</v>
      </c>
      <c r="BM277" s="111">
        <f t="shared" si="53"/>
        <v>1000</v>
      </c>
      <c r="BN277" s="67">
        <f t="shared" si="47"/>
        <v>1250</v>
      </c>
    </row>
    <row r="278" spans="35:66" ht="22.5" hidden="1" customHeight="1">
      <c r="AI278" s="33">
        <f t="shared" si="48"/>
        <v>64</v>
      </c>
      <c r="AJ278" s="33" t="s">
        <v>299</v>
      </c>
      <c r="AK278" s="33">
        <v>10</v>
      </c>
      <c r="AL278" s="75">
        <v>2022</v>
      </c>
      <c r="AN278" s="33">
        <f t="shared" si="49"/>
        <v>64</v>
      </c>
      <c r="AQ278" s="59">
        <v>44835</v>
      </c>
      <c r="AR278" s="33">
        <f t="shared" si="50"/>
        <v>64</v>
      </c>
      <c r="AT278" s="59">
        <f t="shared" si="44"/>
        <v>44835</v>
      </c>
      <c r="AU278" s="33">
        <f t="shared" si="57"/>
        <v>38130</v>
      </c>
      <c r="AV278" s="33">
        <f t="shared" si="58"/>
        <v>62110</v>
      </c>
      <c r="AW278" s="33">
        <v>7.28</v>
      </c>
      <c r="AX278" s="111">
        <f t="shared" si="59"/>
        <v>30</v>
      </c>
      <c r="AY278" s="41">
        <f t="shared" si="55"/>
        <v>11439</v>
      </c>
      <c r="AZ278" s="41"/>
      <c r="BA278" s="41">
        <f t="shared" si="54"/>
        <v>24</v>
      </c>
      <c r="BB278" s="67">
        <f t="shared" si="51"/>
        <v>14906</v>
      </c>
      <c r="BC278" s="33">
        <v>38.776000000000003</v>
      </c>
      <c r="BD278" s="111">
        <f t="shared" si="60"/>
        <v>2</v>
      </c>
      <c r="BE278" s="112">
        <v>73270</v>
      </c>
      <c r="BF278" s="41">
        <v>1000</v>
      </c>
      <c r="BG278" s="41">
        <v>500</v>
      </c>
      <c r="BH278" s="113">
        <f t="shared" si="61"/>
        <v>1000</v>
      </c>
      <c r="BI278" s="115">
        <v>106990</v>
      </c>
      <c r="BJ278" s="41">
        <v>1250</v>
      </c>
      <c r="BK278" s="41">
        <v>700</v>
      </c>
      <c r="BL278" s="113">
        <f t="shared" si="62"/>
        <v>1250</v>
      </c>
      <c r="BM278" s="111">
        <f t="shared" si="53"/>
        <v>1000</v>
      </c>
      <c r="BN278" s="67">
        <f t="shared" si="47"/>
        <v>1250</v>
      </c>
    </row>
    <row r="279" spans="35:66" ht="22.5" hidden="1" customHeight="1">
      <c r="AI279" s="33">
        <f t="shared" si="48"/>
        <v>65</v>
      </c>
      <c r="AJ279" s="33" t="s">
        <v>300</v>
      </c>
      <c r="AK279" s="33">
        <v>11</v>
      </c>
      <c r="AL279" s="75">
        <v>2022</v>
      </c>
      <c r="AN279" s="33">
        <f t="shared" si="49"/>
        <v>65</v>
      </c>
      <c r="AQ279" s="59">
        <v>44866</v>
      </c>
      <c r="AR279" s="33">
        <f t="shared" si="50"/>
        <v>65</v>
      </c>
      <c r="AT279" s="59">
        <f t="shared" si="44"/>
        <v>44866</v>
      </c>
      <c r="AU279" s="33">
        <f t="shared" ref="AU279:AU286" si="63">IF(AT279&gt;=AU$210,AT$210,IF(AT279&gt;=AU$209,AT$209,IF(AT279&gt;=AU$208,AT$208,IF(AT279&gt;=AU$207,AT$207,IF(AT279&gt;=AU$206,AT$206,IF(AT279&gt;=AU$205,AT$205,IF(AT279&gt;=AU$204,AT$204,0)))))))</f>
        <v>38130</v>
      </c>
      <c r="AV279" s="33">
        <f t="shared" ref="AV279:AV286" si="64">IF(AT279&gt;=AU$210,BC$210,IF(AT279&gt;=AU$209,BC$209,IF(AT279&gt;=AU$208,BC$208,IF(AT279&gt;=AU$207,BC$207,IF(AT279&gt;=AU$206,BC$206,IF(AT279&gt;=AU$205,BC$205,IF(AT279&gt;=AU$204,BC$204,0)))))))</f>
        <v>62110</v>
      </c>
      <c r="AW279" s="33">
        <v>7.28</v>
      </c>
      <c r="AX279" s="111">
        <f t="shared" ref="AX279:AX286" si="65">IF(AND(AT279&gt;=AX$213,AY$214=1),AZ$214,AX$214)</f>
        <v>30</v>
      </c>
      <c r="AY279" s="41">
        <f t="shared" si="55"/>
        <v>11439</v>
      </c>
      <c r="AZ279" s="41"/>
      <c r="BA279" s="41">
        <f t="shared" si="54"/>
        <v>24</v>
      </c>
      <c r="BB279" s="67">
        <f t="shared" si="51"/>
        <v>14906</v>
      </c>
      <c r="BC279" s="33">
        <v>38.776000000000003</v>
      </c>
      <c r="BD279" s="111">
        <f t="shared" ref="BD279:BD286" si="66">IF(AND(AT279&gt;=BD$213,BG$213=1),BF$212,BE$212)</f>
        <v>2</v>
      </c>
      <c r="BE279" s="112">
        <v>75150</v>
      </c>
      <c r="BF279" s="41">
        <v>1000</v>
      </c>
      <c r="BG279" s="41">
        <v>500</v>
      </c>
      <c r="BH279" s="113">
        <f t="shared" ref="BH279:BH286" si="67">IF(BD279=1,0,IF(BD279=2,VLOOKUP(AU279,BE$215:BG$295,2,0),VLOOKUP(AU279,BE$215:BG$295,3,0)))</f>
        <v>1000</v>
      </c>
      <c r="BI279" s="115">
        <v>109750</v>
      </c>
      <c r="BJ279" s="41">
        <v>1250</v>
      </c>
      <c r="BK279" s="41">
        <v>700</v>
      </c>
      <c r="BL279" s="113">
        <f t="shared" ref="BL279:BL286" si="68">IF(BD279=1,0,IF(BD279=2,VLOOKUP(AV279,BI$215:BK$295,2,0),VLOOKUP(AV279,BI$215:BK$295,3,0)))</f>
        <v>1250</v>
      </c>
      <c r="BM279" s="111">
        <f t="shared" si="53"/>
        <v>1000</v>
      </c>
      <c r="BN279" s="67">
        <f t="shared" si="47"/>
        <v>1250</v>
      </c>
    </row>
    <row r="280" spans="35:66" ht="22.5" hidden="1" customHeight="1">
      <c r="AI280" s="33">
        <f t="shared" si="48"/>
        <v>66</v>
      </c>
      <c r="AJ280" s="33" t="s">
        <v>301</v>
      </c>
      <c r="AK280" s="33">
        <v>12</v>
      </c>
      <c r="AL280" s="75">
        <v>2022</v>
      </c>
      <c r="AN280" s="33">
        <f t="shared" si="49"/>
        <v>66</v>
      </c>
      <c r="AQ280" s="59">
        <v>44896</v>
      </c>
      <c r="AR280" s="33">
        <f t="shared" si="50"/>
        <v>66</v>
      </c>
      <c r="AT280" s="59">
        <f t="shared" ref="AT280:AT286" si="69">DATE(AL280,AK280,1)</f>
        <v>44896</v>
      </c>
      <c r="AU280" s="33">
        <f t="shared" si="63"/>
        <v>38130</v>
      </c>
      <c r="AV280" s="33">
        <f t="shared" si="64"/>
        <v>62110</v>
      </c>
      <c r="AW280" s="33">
        <v>7.28</v>
      </c>
      <c r="AX280" s="111">
        <f t="shared" si="65"/>
        <v>30</v>
      </c>
      <c r="AY280" s="41">
        <f t="shared" si="55"/>
        <v>11439</v>
      </c>
      <c r="AZ280" s="41"/>
      <c r="BA280" s="41">
        <f t="shared" ref="BA280:BA286" si="70">IF(AND(AT280&gt;=AX$213,AY$214=1),BB$214,BA$214)</f>
        <v>24</v>
      </c>
      <c r="BB280" s="67">
        <f t="shared" si="51"/>
        <v>14906</v>
      </c>
      <c r="BC280" s="33">
        <v>38.776000000000003</v>
      </c>
      <c r="BD280" s="111">
        <f t="shared" si="66"/>
        <v>2</v>
      </c>
      <c r="BE280" s="112">
        <v>77030</v>
      </c>
      <c r="BF280" s="41">
        <v>1000</v>
      </c>
      <c r="BG280" s="41">
        <v>500</v>
      </c>
      <c r="BH280" s="113">
        <f t="shared" si="67"/>
        <v>1000</v>
      </c>
      <c r="BI280" s="115">
        <v>112510</v>
      </c>
      <c r="BJ280" s="41">
        <v>1250</v>
      </c>
      <c r="BK280" s="41">
        <v>700</v>
      </c>
      <c r="BL280" s="113">
        <f t="shared" si="68"/>
        <v>1250</v>
      </c>
      <c r="BM280" s="111">
        <f t="shared" ref="BM280:BM295" si="71">IF(BH280=BH281,BH280,ROUND(BH280*BI$213/BJ$213,0.1)+ROUND(BH281*BK$213/BJ$213,0.1))</f>
        <v>1000</v>
      </c>
      <c r="BN280" s="67">
        <f t="shared" ref="BN280:BN295" si="72">IF(BL280=BL281,BL280,ROUND(BL280*BI$213/BJ$213,0.1)+ROUND(BL281*BK$213/BJ$213,0.1))</f>
        <v>1250</v>
      </c>
    </row>
    <row r="281" spans="35:66" ht="22.5" hidden="1" customHeight="1">
      <c r="AI281" s="33">
        <f>AI280+1</f>
        <v>67</v>
      </c>
      <c r="AJ281" s="33" t="s">
        <v>302</v>
      </c>
      <c r="AK281" s="33">
        <v>1</v>
      </c>
      <c r="AL281" s="75">
        <v>2022</v>
      </c>
      <c r="AN281" s="33">
        <f t="shared" ref="AN281:AN286" si="73">AN280+1</f>
        <v>67</v>
      </c>
      <c r="AQ281" s="59">
        <v>44562</v>
      </c>
      <c r="AR281" s="33">
        <f t="shared" ref="AR281:AR286" si="74">AR280+1</f>
        <v>67</v>
      </c>
      <c r="AT281" s="59">
        <f t="shared" si="69"/>
        <v>44562</v>
      </c>
      <c r="AU281" s="33">
        <f t="shared" si="63"/>
        <v>38130</v>
      </c>
      <c r="AV281" s="33">
        <f t="shared" si="64"/>
        <v>62110</v>
      </c>
      <c r="AW281" s="33">
        <v>7.28</v>
      </c>
      <c r="AX281" s="111">
        <f t="shared" si="65"/>
        <v>30</v>
      </c>
      <c r="AY281" s="41">
        <f t="shared" si="55"/>
        <v>11439</v>
      </c>
      <c r="AZ281" s="41"/>
      <c r="BA281" s="41">
        <f t="shared" si="70"/>
        <v>24</v>
      </c>
      <c r="BB281" s="67">
        <f t="shared" ref="BB281:BB286" si="75">IF(AND(AY$214=1,AT281=AZ$221),AZ$230,ROUND(AV281*BA281%,0.1))</f>
        <v>14906</v>
      </c>
      <c r="BC281" s="33">
        <v>38.776000000000003</v>
      </c>
      <c r="BD281" s="111">
        <f t="shared" si="66"/>
        <v>2</v>
      </c>
      <c r="BE281" s="112">
        <v>78910</v>
      </c>
      <c r="BF281" s="41">
        <v>1000</v>
      </c>
      <c r="BG281" s="41">
        <v>500</v>
      </c>
      <c r="BH281" s="113">
        <f t="shared" si="67"/>
        <v>1000</v>
      </c>
      <c r="BI281" s="115">
        <v>115270</v>
      </c>
      <c r="BJ281" s="41">
        <v>1250</v>
      </c>
      <c r="BK281" s="41">
        <v>700</v>
      </c>
      <c r="BL281" s="113">
        <f t="shared" si="68"/>
        <v>1250</v>
      </c>
      <c r="BM281" s="111">
        <f t="shared" si="71"/>
        <v>1000</v>
      </c>
      <c r="BN281" s="67">
        <f t="shared" si="72"/>
        <v>1250</v>
      </c>
    </row>
    <row r="282" spans="35:66" ht="22.5" hidden="1" customHeight="1">
      <c r="AI282" s="33">
        <f>AI281+1</f>
        <v>68</v>
      </c>
      <c r="AJ282" s="33" t="s">
        <v>303</v>
      </c>
      <c r="AK282" s="33">
        <v>2</v>
      </c>
      <c r="AL282" s="75">
        <v>2023</v>
      </c>
      <c r="AN282" s="33">
        <f t="shared" si="73"/>
        <v>68</v>
      </c>
      <c r="AQ282" s="59">
        <v>44958</v>
      </c>
      <c r="AR282" s="33">
        <f t="shared" si="74"/>
        <v>68</v>
      </c>
      <c r="AT282" s="59">
        <f t="shared" si="69"/>
        <v>44958</v>
      </c>
      <c r="AU282" s="33">
        <f t="shared" si="63"/>
        <v>38130</v>
      </c>
      <c r="AV282" s="33">
        <f t="shared" si="64"/>
        <v>62110</v>
      </c>
      <c r="AW282" s="33">
        <v>7.28</v>
      </c>
      <c r="AX282" s="111">
        <f t="shared" si="65"/>
        <v>30</v>
      </c>
      <c r="AY282" s="41">
        <f t="shared" si="55"/>
        <v>11439</v>
      </c>
      <c r="AZ282" s="41"/>
      <c r="BA282" s="41">
        <f t="shared" si="70"/>
        <v>24</v>
      </c>
      <c r="BB282" s="67">
        <f t="shared" si="75"/>
        <v>14906</v>
      </c>
      <c r="BC282" s="33">
        <v>38.776000000000003</v>
      </c>
      <c r="BD282" s="111">
        <f t="shared" si="66"/>
        <v>2</v>
      </c>
      <c r="BE282" s="112">
        <v>80930</v>
      </c>
      <c r="BF282" s="41">
        <v>1000</v>
      </c>
      <c r="BG282" s="41">
        <v>500</v>
      </c>
      <c r="BH282" s="113">
        <f t="shared" si="67"/>
        <v>1000</v>
      </c>
      <c r="BI282" s="115">
        <v>118230</v>
      </c>
      <c r="BJ282" s="41">
        <v>1250</v>
      </c>
      <c r="BK282" s="41">
        <v>700</v>
      </c>
      <c r="BL282" s="113">
        <f t="shared" si="68"/>
        <v>1250</v>
      </c>
      <c r="BM282" s="111">
        <f t="shared" si="71"/>
        <v>1000</v>
      </c>
      <c r="BN282" s="67">
        <f t="shared" si="72"/>
        <v>1250</v>
      </c>
    </row>
    <row r="283" spans="35:66" ht="22.5" hidden="1" customHeight="1">
      <c r="AI283" s="33">
        <f>AI282+1</f>
        <v>69</v>
      </c>
      <c r="AJ283" s="33" t="s">
        <v>304</v>
      </c>
      <c r="AK283" s="33">
        <v>3</v>
      </c>
      <c r="AL283" s="75">
        <v>2023</v>
      </c>
      <c r="AN283" s="33">
        <f t="shared" si="73"/>
        <v>69</v>
      </c>
      <c r="AQ283" s="59">
        <v>44986</v>
      </c>
      <c r="AR283" s="33">
        <f t="shared" si="74"/>
        <v>69</v>
      </c>
      <c r="AT283" s="59">
        <f t="shared" si="69"/>
        <v>44986</v>
      </c>
      <c r="AU283" s="33">
        <f t="shared" si="63"/>
        <v>38130</v>
      </c>
      <c r="AV283" s="33">
        <f t="shared" si="64"/>
        <v>62110</v>
      </c>
      <c r="AW283" s="33">
        <v>7.28</v>
      </c>
      <c r="AX283" s="111">
        <f t="shared" si="65"/>
        <v>30</v>
      </c>
      <c r="AY283" s="41">
        <f t="shared" si="55"/>
        <v>11439</v>
      </c>
      <c r="AZ283" s="41"/>
      <c r="BA283" s="41">
        <f t="shared" si="70"/>
        <v>24</v>
      </c>
      <c r="BB283" s="67">
        <f t="shared" si="75"/>
        <v>14906</v>
      </c>
      <c r="BC283" s="33">
        <v>38.776000000000003</v>
      </c>
      <c r="BD283" s="111">
        <f t="shared" si="66"/>
        <v>2</v>
      </c>
      <c r="BE283" s="112">
        <v>82950</v>
      </c>
      <c r="BF283" s="41">
        <v>1000</v>
      </c>
      <c r="BG283" s="41">
        <v>500</v>
      </c>
      <c r="BH283" s="113">
        <f t="shared" si="67"/>
        <v>1000</v>
      </c>
      <c r="BI283" s="115">
        <v>121190</v>
      </c>
      <c r="BJ283" s="41">
        <v>1250</v>
      </c>
      <c r="BK283" s="41">
        <v>700</v>
      </c>
      <c r="BL283" s="113">
        <f t="shared" si="68"/>
        <v>1250</v>
      </c>
      <c r="BM283" s="111">
        <f t="shared" si="71"/>
        <v>1000</v>
      </c>
      <c r="BN283" s="67">
        <f t="shared" si="72"/>
        <v>1250</v>
      </c>
    </row>
    <row r="284" spans="35:66" ht="22.5" hidden="1" customHeight="1">
      <c r="AI284" s="33">
        <v>70</v>
      </c>
      <c r="AJ284" s="33" t="s">
        <v>305</v>
      </c>
      <c r="AK284" s="33">
        <v>4</v>
      </c>
      <c r="AL284" s="75">
        <v>2023</v>
      </c>
      <c r="AN284" s="33">
        <f t="shared" si="73"/>
        <v>70</v>
      </c>
      <c r="AQ284" s="59">
        <v>45017</v>
      </c>
      <c r="AR284" s="33">
        <f t="shared" si="74"/>
        <v>70</v>
      </c>
      <c r="AT284" s="59">
        <f t="shared" si="69"/>
        <v>45017</v>
      </c>
      <c r="AU284" s="33">
        <f t="shared" si="63"/>
        <v>38130</v>
      </c>
      <c r="AV284" s="33">
        <f t="shared" si="64"/>
        <v>62110</v>
      </c>
      <c r="AW284" s="33">
        <v>7.28</v>
      </c>
      <c r="AX284" s="111">
        <f t="shared" si="65"/>
        <v>30</v>
      </c>
      <c r="AY284" s="41">
        <f t="shared" si="55"/>
        <v>11439</v>
      </c>
      <c r="AZ284" s="41"/>
      <c r="BA284" s="41">
        <f t="shared" si="70"/>
        <v>24</v>
      </c>
      <c r="BB284" s="67">
        <f t="shared" si="75"/>
        <v>14906</v>
      </c>
      <c r="BC284" s="33">
        <v>38.776000000000003</v>
      </c>
      <c r="BD284" s="111">
        <f t="shared" si="66"/>
        <v>2</v>
      </c>
      <c r="BE284" s="112">
        <v>84970</v>
      </c>
      <c r="BF284" s="41">
        <v>1000</v>
      </c>
      <c r="BG284" s="41">
        <v>500</v>
      </c>
      <c r="BH284" s="113">
        <f t="shared" si="67"/>
        <v>1000</v>
      </c>
      <c r="BI284" s="115">
        <v>124150</v>
      </c>
      <c r="BJ284" s="41">
        <v>1250</v>
      </c>
      <c r="BK284" s="41">
        <v>700</v>
      </c>
      <c r="BL284" s="113">
        <f t="shared" si="68"/>
        <v>1250</v>
      </c>
      <c r="BM284" s="111">
        <f t="shared" si="71"/>
        <v>1000</v>
      </c>
      <c r="BN284" s="67">
        <f t="shared" si="72"/>
        <v>1250</v>
      </c>
    </row>
    <row r="285" spans="35:66" ht="22.5" hidden="1" customHeight="1">
      <c r="AI285" s="33">
        <v>71</v>
      </c>
      <c r="AJ285" s="33" t="s">
        <v>306</v>
      </c>
      <c r="AK285" s="33">
        <v>5</v>
      </c>
      <c r="AL285" s="75">
        <v>2023</v>
      </c>
      <c r="AN285" s="33">
        <f t="shared" si="73"/>
        <v>71</v>
      </c>
      <c r="AQ285" s="59">
        <v>45047</v>
      </c>
      <c r="AR285" s="33">
        <f t="shared" si="74"/>
        <v>71</v>
      </c>
      <c r="AT285" s="59">
        <f t="shared" si="69"/>
        <v>45047</v>
      </c>
      <c r="AU285" s="33">
        <f t="shared" si="63"/>
        <v>38130</v>
      </c>
      <c r="AV285" s="33">
        <f t="shared" si="64"/>
        <v>62110</v>
      </c>
      <c r="AW285" s="33">
        <v>7.28</v>
      </c>
      <c r="AX285" s="111">
        <f t="shared" si="65"/>
        <v>30</v>
      </c>
      <c r="AY285" s="41">
        <f t="shared" si="55"/>
        <v>11439</v>
      </c>
      <c r="AZ285" s="41"/>
      <c r="BA285" s="41">
        <f t="shared" si="70"/>
        <v>24</v>
      </c>
      <c r="BB285" s="67">
        <f t="shared" si="75"/>
        <v>14906</v>
      </c>
      <c r="BC285" s="33">
        <v>38.776000000000003</v>
      </c>
      <c r="BD285" s="111">
        <f t="shared" si="66"/>
        <v>2</v>
      </c>
      <c r="BE285" s="112">
        <v>87130</v>
      </c>
      <c r="BF285" s="41">
        <v>1000</v>
      </c>
      <c r="BG285" s="41">
        <v>500</v>
      </c>
      <c r="BH285" s="113">
        <f t="shared" si="67"/>
        <v>1000</v>
      </c>
      <c r="BI285" s="115">
        <v>127310</v>
      </c>
      <c r="BJ285" s="41">
        <v>1250</v>
      </c>
      <c r="BK285" s="41">
        <v>700</v>
      </c>
      <c r="BL285" s="113">
        <f t="shared" si="68"/>
        <v>1250</v>
      </c>
      <c r="BM285" s="111">
        <f t="shared" si="71"/>
        <v>1000</v>
      </c>
      <c r="BN285" s="67">
        <f t="shared" si="72"/>
        <v>1250</v>
      </c>
    </row>
    <row r="286" spans="35:66" ht="22.5" hidden="1" customHeight="1" thickBot="1">
      <c r="AI286" s="33">
        <v>72</v>
      </c>
      <c r="AJ286" s="33" t="s">
        <v>307</v>
      </c>
      <c r="AK286" s="33">
        <v>6</v>
      </c>
      <c r="AL286" s="75">
        <v>2023</v>
      </c>
      <c r="AN286" s="33">
        <f t="shared" si="73"/>
        <v>72</v>
      </c>
      <c r="AQ286" s="59">
        <v>45078</v>
      </c>
      <c r="AR286" s="33">
        <f t="shared" si="74"/>
        <v>72</v>
      </c>
      <c r="AT286" s="59">
        <f t="shared" si="69"/>
        <v>45078</v>
      </c>
      <c r="AU286" s="33">
        <f t="shared" si="63"/>
        <v>38130</v>
      </c>
      <c r="AV286" s="33">
        <f t="shared" si="64"/>
        <v>62110</v>
      </c>
      <c r="AW286" s="33">
        <v>7.28</v>
      </c>
      <c r="AX286" s="119">
        <f t="shared" si="65"/>
        <v>30</v>
      </c>
      <c r="AY286" s="41">
        <f t="shared" si="55"/>
        <v>11439</v>
      </c>
      <c r="AZ286" s="79"/>
      <c r="BA286" s="41">
        <f t="shared" si="70"/>
        <v>24</v>
      </c>
      <c r="BB286" s="67">
        <f t="shared" si="75"/>
        <v>14906</v>
      </c>
      <c r="BC286" s="33">
        <v>38.776000000000003</v>
      </c>
      <c r="BD286" s="111">
        <f t="shared" si="66"/>
        <v>2</v>
      </c>
      <c r="BE286" s="112">
        <v>89290</v>
      </c>
      <c r="BF286" s="41">
        <v>1000</v>
      </c>
      <c r="BG286" s="41">
        <v>500</v>
      </c>
      <c r="BH286" s="113">
        <f t="shared" si="67"/>
        <v>1000</v>
      </c>
      <c r="BI286" s="115">
        <v>130470</v>
      </c>
      <c r="BJ286" s="41">
        <v>1250</v>
      </c>
      <c r="BK286" s="41">
        <v>700</v>
      </c>
      <c r="BL286" s="113">
        <f t="shared" si="68"/>
        <v>1250</v>
      </c>
      <c r="BM286" s="119">
        <f t="shared" si="71"/>
        <v>1033</v>
      </c>
      <c r="BN286" s="67">
        <f t="shared" si="72"/>
        <v>1292</v>
      </c>
    </row>
    <row r="287" spans="35:66" ht="22.5" hidden="1" customHeight="1">
      <c r="AQ287" s="59">
        <v>73051</v>
      </c>
      <c r="AR287" s="33">
        <v>1000</v>
      </c>
      <c r="AT287" s="59">
        <v>73051</v>
      </c>
      <c r="AW287" s="33">
        <v>0</v>
      </c>
      <c r="AX287" s="33">
        <v>0</v>
      </c>
      <c r="BA287" s="33">
        <v>0</v>
      </c>
      <c r="BC287" s="33">
        <v>0</v>
      </c>
      <c r="BD287" s="111"/>
      <c r="BE287" s="112">
        <v>91450</v>
      </c>
      <c r="BF287" s="41">
        <v>1000</v>
      </c>
      <c r="BG287" s="41">
        <v>500</v>
      </c>
      <c r="BH287" s="113"/>
      <c r="BI287" s="115">
        <v>133630</v>
      </c>
      <c r="BJ287" s="41">
        <v>1250</v>
      </c>
      <c r="BK287" s="41">
        <v>700</v>
      </c>
      <c r="BL287" s="113"/>
      <c r="BM287" s="33">
        <f t="shared" si="71"/>
        <v>0</v>
      </c>
      <c r="BN287" s="67">
        <f t="shared" si="72"/>
        <v>0</v>
      </c>
    </row>
    <row r="288" spans="35:66" ht="22.5" hidden="1" customHeight="1">
      <c r="BD288" s="111"/>
      <c r="BE288" s="112">
        <v>93780</v>
      </c>
      <c r="BF288" s="41">
        <v>1000</v>
      </c>
      <c r="BG288" s="41">
        <v>500</v>
      </c>
      <c r="BH288" s="113"/>
      <c r="BI288" s="115">
        <v>137050</v>
      </c>
      <c r="BJ288" s="41">
        <v>1250</v>
      </c>
      <c r="BK288" s="41">
        <v>700</v>
      </c>
      <c r="BL288" s="113"/>
      <c r="BM288" s="33">
        <f t="shared" si="71"/>
        <v>0</v>
      </c>
      <c r="BN288" s="67">
        <f t="shared" si="72"/>
        <v>0</v>
      </c>
    </row>
    <row r="289" spans="34:66" ht="22.5" hidden="1" customHeight="1">
      <c r="BD289" s="111"/>
      <c r="BE289" s="112">
        <v>96110</v>
      </c>
      <c r="BF289" s="41">
        <v>1000</v>
      </c>
      <c r="BG289" s="41">
        <v>500</v>
      </c>
      <c r="BH289" s="113"/>
      <c r="BI289" s="115">
        <v>140470</v>
      </c>
      <c r="BJ289" s="41">
        <v>1250</v>
      </c>
      <c r="BK289" s="41">
        <v>700</v>
      </c>
      <c r="BL289" s="113"/>
      <c r="BM289" s="33">
        <f t="shared" si="71"/>
        <v>0</v>
      </c>
      <c r="BN289" s="67">
        <f t="shared" si="72"/>
        <v>0</v>
      </c>
    </row>
    <row r="290" spans="34:66" ht="22.5" hidden="1" customHeight="1">
      <c r="BD290" s="111"/>
      <c r="BE290" s="112">
        <v>98440</v>
      </c>
      <c r="BF290" s="41">
        <v>1000</v>
      </c>
      <c r="BG290" s="41">
        <v>500</v>
      </c>
      <c r="BH290" s="113"/>
      <c r="BI290" s="115">
        <v>143890</v>
      </c>
      <c r="BJ290" s="41">
        <v>1250</v>
      </c>
      <c r="BK290" s="41">
        <v>700</v>
      </c>
      <c r="BL290" s="113"/>
      <c r="BM290" s="33">
        <f t="shared" si="71"/>
        <v>0</v>
      </c>
      <c r="BN290" s="67">
        <f t="shared" si="72"/>
        <v>0</v>
      </c>
    </row>
    <row r="291" spans="34:66" ht="22.5" hidden="1" customHeight="1" thickBot="1">
      <c r="BD291" s="111"/>
      <c r="BE291" s="112">
        <v>100770</v>
      </c>
      <c r="BF291" s="41">
        <v>1000</v>
      </c>
      <c r="BG291" s="41">
        <v>500</v>
      </c>
      <c r="BH291" s="113"/>
      <c r="BI291" s="115">
        <v>147310</v>
      </c>
      <c r="BJ291" s="41">
        <v>1250</v>
      </c>
      <c r="BK291" s="41">
        <v>700</v>
      </c>
      <c r="BL291" s="113"/>
      <c r="BM291" s="33">
        <f t="shared" si="71"/>
        <v>0</v>
      </c>
      <c r="BN291" s="67">
        <f t="shared" si="72"/>
        <v>0</v>
      </c>
    </row>
    <row r="292" spans="34:66" ht="22.5" hidden="1" customHeight="1">
      <c r="AI292" s="33" t="s">
        <v>405</v>
      </c>
      <c r="AL292" s="82" t="s">
        <v>164</v>
      </c>
      <c r="AM292" s="82" t="s">
        <v>168</v>
      </c>
      <c r="AN292" s="82" t="s">
        <v>169</v>
      </c>
      <c r="AO292" s="108"/>
      <c r="AP292" s="109"/>
      <c r="AQ292" s="66"/>
      <c r="AR292" s="120"/>
      <c r="AS292" s="82" t="s">
        <v>164</v>
      </c>
      <c r="AT292" s="82" t="s">
        <v>168</v>
      </c>
      <c r="AU292" s="82" t="s">
        <v>169</v>
      </c>
      <c r="AV292" s="108"/>
      <c r="AW292" s="109"/>
      <c r="AX292" s="66"/>
      <c r="BD292" s="111"/>
      <c r="BE292" s="112">
        <v>103290</v>
      </c>
      <c r="BF292" s="41">
        <v>1000</v>
      </c>
      <c r="BG292" s="41">
        <v>500</v>
      </c>
      <c r="BH292" s="113"/>
      <c r="BI292" s="115">
        <v>151000</v>
      </c>
      <c r="BJ292" s="41">
        <v>1250</v>
      </c>
      <c r="BK292" s="41">
        <v>700</v>
      </c>
      <c r="BL292" s="113"/>
      <c r="BM292" s="33">
        <f t="shared" si="71"/>
        <v>0</v>
      </c>
      <c r="BN292" s="67">
        <f t="shared" si="72"/>
        <v>0</v>
      </c>
    </row>
    <row r="293" spans="34:66" ht="22.5" hidden="1" customHeight="1">
      <c r="AJ293" s="33">
        <f>G51</f>
        <v>30</v>
      </c>
      <c r="AK293" s="59">
        <f>IF(G51="NA",DATE(2021,1,1),DATE(I51,H51,1))</f>
        <v>43891</v>
      </c>
      <c r="AL293" s="82">
        <f>VLOOKUP(AK293,AT215:AX286,3,0)</f>
        <v>58850</v>
      </c>
      <c r="AM293" s="82">
        <f>VLOOKUP(AK293,AT215:AX287,4,0)</f>
        <v>7.28</v>
      </c>
      <c r="AN293" s="82">
        <f>VLOOKUP(AK293,AT215:BA287,8,0)</f>
        <v>24</v>
      </c>
      <c r="AO293" s="111">
        <f>IF(AJ293="NA",0,IF(AJ293=15,AL293/2,AL293))</f>
        <v>58850</v>
      </c>
      <c r="AP293" s="41">
        <f>ROUND(AO293*AM293%,0.1)</f>
        <v>4284</v>
      </c>
      <c r="AQ293" s="67">
        <f>ROUND(AO293*AN293%,0.1)</f>
        <v>14124</v>
      </c>
      <c r="AR293" s="121">
        <f>IF(AJ293="NA",0,IF(AJ293=30,L23,ROUND(L23/2,0.1)))</f>
        <v>15</v>
      </c>
      <c r="AS293" s="82">
        <f>VLOOKUP(AK293,AT215:AX286,2,0)</f>
        <v>36070</v>
      </c>
      <c r="AT293" s="82">
        <f>VLOOKUP(AK293,AT215:BC287,10,0)</f>
        <v>38.776000000000003</v>
      </c>
      <c r="AU293" s="82">
        <f>VLOOKUP(AK293,AT215:AX287,5,0)</f>
        <v>30</v>
      </c>
      <c r="AV293" s="111">
        <f>IF(AJ293="NA",0,IF(AJ293=15,AS293/2,AS293))</f>
        <v>36070</v>
      </c>
      <c r="AW293" s="41">
        <f>ROUND(AV293*AT293%,0.1)</f>
        <v>13987</v>
      </c>
      <c r="AX293" s="67">
        <f>ROUND(AV293*AU293%,0.1)</f>
        <v>10821</v>
      </c>
      <c r="BD293" s="111"/>
      <c r="BE293" s="112">
        <v>105810</v>
      </c>
      <c r="BF293" s="41">
        <v>1000</v>
      </c>
      <c r="BG293" s="41">
        <v>500</v>
      </c>
      <c r="BH293" s="113"/>
      <c r="BI293" s="115">
        <v>154690</v>
      </c>
      <c r="BJ293" s="41">
        <v>1250</v>
      </c>
      <c r="BK293" s="41">
        <v>700</v>
      </c>
      <c r="BL293" s="113"/>
      <c r="BM293" s="33">
        <f t="shared" si="71"/>
        <v>0</v>
      </c>
      <c r="BN293" s="67">
        <f t="shared" si="72"/>
        <v>0</v>
      </c>
    </row>
    <row r="294" spans="34:66" ht="22.5" hidden="1" customHeight="1" thickBot="1">
      <c r="AJ294" s="33">
        <f>G52</f>
        <v>15</v>
      </c>
      <c r="AK294" s="59">
        <f>IF(G52="NA",DATE(2021,1,1),DATE(I52,H52,1))</f>
        <v>44317</v>
      </c>
      <c r="AL294" s="82">
        <f>VLOOKUP(AK294,AT215:AX286,3,0)</f>
        <v>62110</v>
      </c>
      <c r="AM294" s="82">
        <f>VLOOKUP(AK294,AT215:AX287,4,0)</f>
        <v>7.28</v>
      </c>
      <c r="AN294" s="82">
        <f>VLOOKUP(AK294,AT215:BA287,8,0)</f>
        <v>24</v>
      </c>
      <c r="AO294" s="119">
        <f>IF(AJ294="NA",0,IF(AJ294=15,AL294/2,AL294))</f>
        <v>31055</v>
      </c>
      <c r="AP294" s="79">
        <f>ROUND(AO294*AM294%,0.1)</f>
        <v>2261</v>
      </c>
      <c r="AQ294" s="72">
        <f>ROUND(AO294*AN294%,0.1)</f>
        <v>7453</v>
      </c>
      <c r="AR294" s="122">
        <f>IF(AJ294="NA",0,IF(AJ294=30,L23,ROUND(L23/2,0.1)))</f>
        <v>8</v>
      </c>
      <c r="AS294" s="82">
        <f>VLOOKUP(AK294,AT215:AX286,2,0)</f>
        <v>38130</v>
      </c>
      <c r="AT294" s="82">
        <f>VLOOKUP(AK294,AT215:BC287,10,0)</f>
        <v>38.776000000000003</v>
      </c>
      <c r="AU294" s="82">
        <f>VLOOKUP(AK294,AT215:AX287,5,0)</f>
        <v>30</v>
      </c>
      <c r="AV294" s="119">
        <f>IF(AJ294="NA",0,IF(AJ294=15,AS294/2,AS294))</f>
        <v>19065</v>
      </c>
      <c r="AW294" s="79">
        <f>ROUND(AV294*AT294%,0.1)</f>
        <v>7393</v>
      </c>
      <c r="AX294" s="72">
        <f>ROUND(AV294*AU294%,0.1)</f>
        <v>5720</v>
      </c>
      <c r="BD294" s="111"/>
      <c r="BE294" s="112">
        <v>108330</v>
      </c>
      <c r="BF294" s="41">
        <v>1000</v>
      </c>
      <c r="BG294" s="41">
        <v>500</v>
      </c>
      <c r="BH294" s="113"/>
      <c r="BI294" s="115">
        <v>158380</v>
      </c>
      <c r="BJ294" s="41">
        <v>1250</v>
      </c>
      <c r="BK294" s="41">
        <v>700</v>
      </c>
      <c r="BL294" s="113"/>
      <c r="BM294" s="33">
        <f t="shared" si="71"/>
        <v>0</v>
      </c>
      <c r="BN294" s="67">
        <f t="shared" si="72"/>
        <v>0</v>
      </c>
    </row>
    <row r="295" spans="34:66" ht="22.5" hidden="1" customHeight="1" thickBot="1">
      <c r="BD295" s="119"/>
      <c r="BE295" s="123">
        <v>110850</v>
      </c>
      <c r="BF295" s="79">
        <v>1000</v>
      </c>
      <c r="BG295" s="79">
        <v>500</v>
      </c>
      <c r="BH295" s="117"/>
      <c r="BI295" s="124">
        <v>162070</v>
      </c>
      <c r="BJ295" s="79">
        <v>1250</v>
      </c>
      <c r="BK295" s="79">
        <v>700</v>
      </c>
      <c r="BL295" s="117"/>
      <c r="BM295" s="33">
        <f t="shared" si="71"/>
        <v>0</v>
      </c>
      <c r="BN295" s="67">
        <f t="shared" si="72"/>
        <v>0</v>
      </c>
    </row>
    <row r="296" spans="34:66" ht="22.5" hidden="1" customHeight="1">
      <c r="AK296" s="125" t="str">
        <f>IF(AJ293="NA","No SL",CONCATENATE("SL-",MONTH(AK293),"/",YEAR(AK293),"   ",AJ293,"Days"))</f>
        <v>SL-3/2020   30Days</v>
      </c>
      <c r="AL296" s="33">
        <f>VLOOKUP(AK293,AQ215:AR286,2,0)</f>
        <v>21</v>
      </c>
    </row>
    <row r="297" spans="34:66" ht="22.5" hidden="1" customHeight="1">
      <c r="AK297" s="125" t="str">
        <f>IF(AJ294="NA","No SL",CONCATENATE("SL-",MONTH(AK294),"/",YEAR(AK294),"   ",AJ294,"Days"))</f>
        <v>SL-5/2021   15Days</v>
      </c>
      <c r="AL297" s="33">
        <f>VLOOKUP(AK294,AQ215:AR286,2,0)</f>
        <v>35</v>
      </c>
    </row>
    <row r="298" spans="34:66" ht="22.5" hidden="1" customHeight="1"/>
    <row r="299" spans="34:66" ht="22.5" hidden="1" customHeight="1"/>
    <row r="300" spans="34:66" ht="22.5" hidden="1" customHeight="1"/>
    <row r="301" spans="34:66" ht="22.5" hidden="1" customHeight="1">
      <c r="AI301" s="33" t="s">
        <v>426</v>
      </c>
    </row>
    <row r="302" spans="34:66" ht="22.5" hidden="1" customHeight="1"/>
    <row r="303" spans="34:66" ht="22.5" hidden="1" customHeight="1">
      <c r="AH303" s="33">
        <f>IF(T50="Yes",1,2)</f>
        <v>2</v>
      </c>
      <c r="AI303" s="33" t="s">
        <v>494</v>
      </c>
      <c r="AK303" s="33" t="str">
        <f>P51</f>
        <v>Dec, 2020</v>
      </c>
      <c r="AL303" s="306">
        <f>VLOOKUP(AK303,AM215:AN248,2,0)</f>
        <v>30</v>
      </c>
      <c r="AM303" s="33">
        <f>IF(AH303=2,1000,AL303)</f>
        <v>1000</v>
      </c>
    </row>
  </sheetData>
  <sheetProtection password="D8E3" sheet="1" objects="1" scenarios="1"/>
  <customSheetViews>
    <customSheetView guid="{F60E2261-838F-4117-A98D-7C5CFDCC0021}" showGridLines="0" showRowCol="0" hiddenRows="1" hiddenColumns="1">
      <selection activeCell="I4" sqref="I4:Q4"/>
      <pageMargins left="0.7" right="0.7" top="0.75" bottom="0.75" header="0.3" footer="0.3"/>
      <pageSetup orientation="portrait" r:id="rId1"/>
    </customSheetView>
    <customSheetView guid="{5633FAF7-B486-4D0B-84AB-497A2BE1B953}" showGridLines="0" showRowCol="0" hiddenRows="1" hiddenColumns="1">
      <selection activeCell="I4" sqref="I4:Q4"/>
      <pageMargins left="0.7" right="0.7" top="0.75" bottom="0.75" header="0.3" footer="0.3"/>
      <pageSetup orientation="portrait" r:id="rId2"/>
    </customSheetView>
  </customSheetViews>
  <mergeCells count="157">
    <mergeCell ref="B47:F47"/>
    <mergeCell ref="G42:G43"/>
    <mergeCell ref="H42:H43"/>
    <mergeCell ref="I46:J46"/>
    <mergeCell ref="I48:J48"/>
    <mergeCell ref="I49:J49"/>
    <mergeCell ref="K46:M46"/>
    <mergeCell ref="N49:O49"/>
    <mergeCell ref="B36:R36"/>
    <mergeCell ref="B45:F45"/>
    <mergeCell ref="B49:F49"/>
    <mergeCell ref="B44:F44"/>
    <mergeCell ref="I44:J44"/>
    <mergeCell ref="K44:M44"/>
    <mergeCell ref="N44:O44"/>
    <mergeCell ref="P44:R44"/>
    <mergeCell ref="F30:L31"/>
    <mergeCell ref="P26:Q26"/>
    <mergeCell ref="F29:L29"/>
    <mergeCell ref="G33:L33"/>
    <mergeCell ref="B34:R34"/>
    <mergeCell ref="B42:F43"/>
    <mergeCell ref="B38:D38"/>
    <mergeCell ref="E38:I38"/>
    <mergeCell ref="J35:M35"/>
    <mergeCell ref="Q35:R35"/>
    <mergeCell ref="J38:M38"/>
    <mergeCell ref="N38:R38"/>
    <mergeCell ref="B39:E39"/>
    <mergeCell ref="H39:I39"/>
    <mergeCell ref="J39:R39"/>
    <mergeCell ref="BP112:BR113"/>
    <mergeCell ref="B40:AD40"/>
    <mergeCell ref="I4:Q4"/>
    <mergeCell ref="I5:Q5"/>
    <mergeCell ref="I6:Q6"/>
    <mergeCell ref="I7:Q7"/>
    <mergeCell ref="I9:Q9"/>
    <mergeCell ref="I10:Q10"/>
    <mergeCell ref="B12:Q12"/>
    <mergeCell ref="I13:Q13"/>
    <mergeCell ref="I14:Q14"/>
    <mergeCell ref="I15:Q15"/>
    <mergeCell ref="I16:Q16"/>
    <mergeCell ref="I17:Q17"/>
    <mergeCell ref="I18:Q18"/>
    <mergeCell ref="P47:R47"/>
    <mergeCell ref="S47:T47"/>
    <mergeCell ref="B50:F50"/>
    <mergeCell ref="I50:J50"/>
    <mergeCell ref="B51:F51"/>
    <mergeCell ref="I51:J51"/>
    <mergeCell ref="B52:F52"/>
    <mergeCell ref="U50:AD52"/>
    <mergeCell ref="B21:O21"/>
    <mergeCell ref="I52:J52"/>
    <mergeCell ref="S42:T43"/>
    <mergeCell ref="S45:T45"/>
    <mergeCell ref="S46:T46"/>
    <mergeCell ref="S48:T48"/>
    <mergeCell ref="N45:O45"/>
    <mergeCell ref="N48:O48"/>
    <mergeCell ref="I47:J47"/>
    <mergeCell ref="K47:M47"/>
    <mergeCell ref="N47:O47"/>
    <mergeCell ref="N46:O46"/>
    <mergeCell ref="K48:M48"/>
    <mergeCell ref="S49:T49"/>
    <mergeCell ref="K51:O51"/>
    <mergeCell ref="P51:Q51"/>
    <mergeCell ref="K52:O52"/>
    <mergeCell ref="S44:T44"/>
    <mergeCell ref="R51:T52"/>
    <mergeCell ref="K49:M49"/>
    <mergeCell ref="P52:Q52"/>
    <mergeCell ref="B15:H15"/>
    <mergeCell ref="B10:H10"/>
    <mergeCell ref="B14:F14"/>
    <mergeCell ref="G14:H14"/>
    <mergeCell ref="B11:H11"/>
    <mergeCell ref="B13:H13"/>
    <mergeCell ref="B20:D20"/>
    <mergeCell ref="P21:Q21"/>
    <mergeCell ref="I11:K11"/>
    <mergeCell ref="L11:N11"/>
    <mergeCell ref="O11:Q11"/>
    <mergeCell ref="B19:Q19"/>
    <mergeCell ref="G23:K23"/>
    <mergeCell ref="M23:O23"/>
    <mergeCell ref="P23:Q23"/>
    <mergeCell ref="N24:Q24"/>
    <mergeCell ref="B22:Q22"/>
    <mergeCell ref="B25:Q25"/>
    <mergeCell ref="B28:D28"/>
    <mergeCell ref="E26:F26"/>
    <mergeCell ref="B26:D26"/>
    <mergeCell ref="G26:I26"/>
    <mergeCell ref="N28:O28"/>
    <mergeCell ref="G27:I27"/>
    <mergeCell ref="G28:I28"/>
    <mergeCell ref="P28:Q28"/>
    <mergeCell ref="E28:F28"/>
    <mergeCell ref="J27:K27"/>
    <mergeCell ref="J28:K28"/>
    <mergeCell ref="L27:M27"/>
    <mergeCell ref="J26:K26"/>
    <mergeCell ref="L26:M26"/>
    <mergeCell ref="N26:O26"/>
    <mergeCell ref="E27:F27"/>
    <mergeCell ref="G4:H4"/>
    <mergeCell ref="B4:F4"/>
    <mergeCell ref="B5:H5"/>
    <mergeCell ref="B6:H6"/>
    <mergeCell ref="B7:H7"/>
    <mergeCell ref="B9:H9"/>
    <mergeCell ref="P46:R46"/>
    <mergeCell ref="P48:R48"/>
    <mergeCell ref="P49:R49"/>
    <mergeCell ref="B23:E23"/>
    <mergeCell ref="E20:J20"/>
    <mergeCell ref="B16:H16"/>
    <mergeCell ref="B18:H18"/>
    <mergeCell ref="B17:H17"/>
    <mergeCell ref="I45:J45"/>
    <mergeCell ref="K45:M45"/>
    <mergeCell ref="P45:R45"/>
    <mergeCell ref="I42:J43"/>
    <mergeCell ref="K42:M43"/>
    <mergeCell ref="N42:O43"/>
    <mergeCell ref="P42:R43"/>
    <mergeCell ref="N27:O27"/>
    <mergeCell ref="P27:Q27"/>
    <mergeCell ref="L28:M28"/>
    <mergeCell ref="B53:T53"/>
    <mergeCell ref="K50:S50"/>
    <mergeCell ref="BS203:BV203"/>
    <mergeCell ref="BZ204:CA204"/>
    <mergeCell ref="BU204:BV204"/>
    <mergeCell ref="BM213:BN213"/>
    <mergeCell ref="B2:AD3"/>
    <mergeCell ref="B8:H8"/>
    <mergeCell ref="I8:Q8"/>
    <mergeCell ref="B41:F41"/>
    <mergeCell ref="J41:K41"/>
    <mergeCell ref="L41:O41"/>
    <mergeCell ref="S41:T41"/>
    <mergeCell ref="P41:R41"/>
    <mergeCell ref="G41:I41"/>
    <mergeCell ref="K20:O20"/>
    <mergeCell ref="P20:Q20"/>
    <mergeCell ref="B24:L24"/>
    <mergeCell ref="B46:F46"/>
    <mergeCell ref="B48:F48"/>
    <mergeCell ref="BJ204:BK204"/>
    <mergeCell ref="AG203:AJ203"/>
    <mergeCell ref="B27:D27"/>
    <mergeCell ref="BL204:BM204"/>
  </mergeCells>
  <dataValidations count="25">
    <dataValidation type="list" allowBlank="1" showInputMessage="1" showErrorMessage="1" sqref="G14:H14">
      <formula1>$AK$114:$AK$116</formula1>
    </dataValidation>
    <dataValidation type="list" allowBlank="1" showInputMessage="1" showErrorMessage="1" errorTitle="Select" error="Sri./ Smt. /Kum." promptTitle="Select" prompt="Sri. Smt. Kum.&#10;" sqref="G4:H4">
      <formula1>$AK$114:$AK$116</formula1>
    </dataValidation>
    <dataValidation type="list" allowBlank="1" showInputMessage="1" showErrorMessage="1" errorTitle="Select" error="Yes or No" promptTitle="Select" prompt="Yes or No" sqref="P23 R37 J27 I35 T50">
      <formula1>$AK$110:$AK$111</formula1>
    </dataValidation>
    <dataValidation type="list" allowBlank="1" showInputMessage="1" showErrorMessage="1" errorTitle="Select" error="Select your date" promptTitle="Select Date" prompt="Select your date" sqref="O35">
      <formula1>$AK$138:$AK$169</formula1>
    </dataValidation>
    <dataValidation type="list" allowBlank="1" showInputMessage="1" showErrorMessage="1" errorTitle="Select" error="Month" promptTitle="Select Month" prompt="Select Month number 1-12" sqref="H51:H52 P35">
      <formula1>$AK$138:$AK$150</formula1>
    </dataValidation>
    <dataValidation type="list" allowBlank="1" showInputMessage="1" showErrorMessage="1" errorTitle="Select" error="Year" promptTitle="Select" prompt="Year" sqref="I44:J49 H39">
      <formula1>$AK$173:$AK$177</formula1>
    </dataValidation>
    <dataValidation type="list" allowBlank="1" showInputMessage="1" showErrorMessage="1" errorTitle="Select" error="Select HRA %" promptTitle="Select" prompt="Select HRA %" sqref="N35 F35">
      <formula1>$AV$106:$AV$110</formula1>
    </dataValidation>
    <dataValidation type="list" allowBlank="1" showInputMessage="1" showErrorMessage="1" errorTitle="Select" error="CCA " promptTitle="Select" prompt="CCA" sqref="E38 N38">
      <formula1>$AV$113:$AV$115</formula1>
    </dataValidation>
    <dataValidation type="list" allowBlank="1" showInputMessage="1" showErrorMessage="1" errorTitle="Select" error="NA or 15 or 30" promptTitle="Select" prompt="Select if availed days" sqref="G51:G52">
      <formula1>$AV$117:$AV$119</formula1>
    </dataValidation>
    <dataValidation type="list" allowBlank="1" showInputMessage="1" showErrorMessage="1" errorTitle="Select" error="Year" promptTitle="Select" prompt="Year" sqref="Q35">
      <formula1>$AK$172:$AK$177</formula1>
    </dataValidation>
    <dataValidation type="list" allowBlank="1" showInputMessage="1" showErrorMessage="1" errorTitle="Select" error="Scale of Pay" promptTitle="Select" prompt="Scale of Pay" sqref="G41">
      <formula1>$AV$132:$AV$164</formula1>
    </dataValidation>
    <dataValidation type="list" allowBlank="1" showInputMessage="1" showErrorMessage="1" errorTitle="Select " error="Revised Scale of Pay" promptTitle="Select" prompt="Scale of Pay" sqref="P41">
      <formula1>$AV$168:$AV$200</formula1>
    </dataValidation>
    <dataValidation type="list" allowBlank="1" showInputMessage="1" showErrorMessage="1" errorTitle="Select" error="CPS or ZPGPF or AGGPF" promptTitle="Select" prompt="PF Type CPS or PF " sqref="O11:Q11">
      <formula1>$AO$114:$AO$118</formula1>
    </dataValidation>
    <dataValidation type="list" allowBlank="1" showInputMessage="1" showErrorMessage="1" errorTitle="Select" error="Pay change reason" promptTitle="Select " prompt="Pay change due to" sqref="B44:F49">
      <formula1>$AV$121:$AV$129</formula1>
    </dataValidation>
    <dataValidation type="list" allowBlank="1" showInputMessage="1" showErrorMessage="1" errorTitle="Select Basic Pay" error="Your Pay as Option date" promptTitle="Select" prompt="Select your Basic Pay as on Option date" sqref="P21">
      <formula1>$BA$114:$BA$194</formula1>
    </dataValidation>
    <dataValidation type="list" allowBlank="1" showInputMessage="1" showErrorMessage="1" errorTitle="Select" error="Select your date" promptTitle="Select Date" prompt="Select your date" sqref="F39 G44:G49">
      <formula1>$AK$139:$AK$169</formula1>
    </dataValidation>
    <dataValidation type="list" allowBlank="1" showInputMessage="1" showErrorMessage="1" errorTitle="Select" error="Month" promptTitle="Select Month" prompt="Select Month number 1-12" sqref="G39 H44:H49">
      <formula1>$AK$139:$AK$150</formula1>
    </dataValidation>
    <dataValidation type="list" allowBlank="1" showInputMessage="1" showErrorMessage="1" errorTitle="Select" error="Scale of Pay" promptTitle="Select" prompt="Scale of Pay" sqref="K44:M49">
      <formula1>$AV$133:$AV$164</formula1>
    </dataValidation>
    <dataValidation type="list" allowBlank="1" showInputMessage="1" showErrorMessage="1" errorTitle="Select " error="Revised Scale of Pay" promptTitle="Select" prompt="Scale of Pay" sqref="P44:R49">
      <formula1>$AV$169:$AV$200</formula1>
    </dataValidation>
    <dataValidation type="list" allowBlank="1" showInputMessage="1" showErrorMessage="1" errorTitle="Select" error="Ordinary &#10;SG&#10;SPP-IA&#10;SPP-II" promptTitle="Select" prompt="Your Post" sqref="S41:T41 J41:K41">
      <formula1>$AT$122:$AT$126</formula1>
    </dataValidation>
    <dataValidation type="list" allowBlank="1" showInputMessage="1" showErrorMessage="1" errorTitle="Select" error="Bill Period up to Month&#10;" promptTitle="Select " prompt="Bill Period " sqref="P52:Q52">
      <formula1>$AM$172:$AM$176</formula1>
    </dataValidation>
    <dataValidation type="list" allowBlank="1" showInputMessage="1" showErrorMessage="1" errorTitle="Select" error="Year" promptTitle="Select" prompt="Year" sqref="I51:J52">
      <formula1>$AK$175:$AK$177</formula1>
    </dataValidation>
    <dataValidation type="list" allowBlank="1" showInputMessage="1" showErrorMessage="1" errorTitle="Select" error="Bill Period up to Month&#10;" promptTitle="Select " prompt="Bill Period " sqref="P51:Q51">
      <formula1>$AM$215:$AM$247</formula1>
    </dataValidation>
    <dataValidation type="list" allowBlank="1" showInputMessage="1" showErrorMessage="1" errorTitle="Select" error="Option " promptTitle="Select" prompt="Your Option" sqref="E20">
      <formula1>$AK$119:$AK$122</formula1>
    </dataValidation>
    <dataValidation type="list" allowBlank="1" showInputMessage="1" showErrorMessage="1" promptTitle="Select" prompt="Select Increment Moth" sqref="P20:Q20">
      <formula1>$AK$123:$AK$134</formula1>
    </dataValidation>
  </dataValidations>
  <hyperlinks>
    <hyperlink ref="G32" r:id="rId3"/>
    <hyperlink ref="N24" r:id="rId4"/>
    <hyperlink ref="J39" r:id="rId5"/>
    <hyperlink ref="R51" r:id="rId6"/>
  </hyperlink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sheetPr codeName="Sheet2">
    <tabColor rgb="FFFFFF00"/>
  </sheetPr>
  <dimension ref="A1:WVV52"/>
  <sheetViews>
    <sheetView showGridLines="0" showRowColHeaders="0" workbookViewId="0">
      <selection activeCell="B3" sqref="B3:H3"/>
    </sheetView>
  </sheetViews>
  <sheetFormatPr defaultColWidth="0" defaultRowHeight="15" zeroHeight="1"/>
  <cols>
    <col min="1" max="1" width="5" style="1" customWidth="1"/>
    <col min="2" max="2" width="4.140625" style="1" customWidth="1"/>
    <col min="3" max="4" width="5" style="1" customWidth="1"/>
    <col min="5" max="5" width="1.85546875" style="1" customWidth="1"/>
    <col min="6" max="6" width="10.85546875" style="1" customWidth="1"/>
    <col min="7" max="7" width="13.5703125" style="1" customWidth="1"/>
    <col min="8" max="8" width="10" style="1" customWidth="1"/>
    <col min="9" max="9" width="14.140625" style="1" customWidth="1"/>
    <col min="10" max="10" width="10.140625" style="1" customWidth="1"/>
    <col min="11" max="11" width="8.5703125" style="1" customWidth="1"/>
    <col min="12" max="13" width="3.42578125" style="1" customWidth="1"/>
    <col min="14" max="14" width="1.5703125" style="1" customWidth="1"/>
    <col min="15" max="15" width="4.42578125" style="1" hidden="1" customWidth="1"/>
    <col min="16" max="248" width="0" style="1" hidden="1"/>
    <col min="249" max="252" width="5.28515625" style="1" hidden="1" customWidth="1"/>
    <col min="253" max="253" width="1.85546875" style="1" hidden="1" customWidth="1"/>
    <col min="254" max="254" width="11.7109375" style="1" hidden="1" customWidth="1"/>
    <col min="255" max="255" width="8.140625" style="1" hidden="1" customWidth="1"/>
    <col min="256" max="256" width="11" style="1" hidden="1" customWidth="1"/>
    <col min="257" max="259" width="2.7109375" style="1" hidden="1" customWidth="1"/>
    <col min="260" max="261" width="2.85546875" style="1" hidden="1" customWidth="1"/>
    <col min="262" max="269" width="3.42578125" style="1" hidden="1" customWidth="1"/>
    <col min="270" max="270" width="1.5703125" style="1" hidden="1" customWidth="1"/>
    <col min="271" max="271" width="0" style="1" hidden="1" customWidth="1"/>
    <col min="272" max="504" width="0" style="1" hidden="1"/>
    <col min="505" max="508" width="5.28515625" style="1" hidden="1" customWidth="1"/>
    <col min="509" max="509" width="1.85546875" style="1" hidden="1" customWidth="1"/>
    <col min="510" max="510" width="11.7109375" style="1" hidden="1" customWidth="1"/>
    <col min="511" max="511" width="8.140625" style="1" hidden="1" customWidth="1"/>
    <col min="512" max="512" width="11" style="1" hidden="1" customWidth="1"/>
    <col min="513" max="515" width="2.7109375" style="1" hidden="1" customWidth="1"/>
    <col min="516" max="517" width="2.85546875" style="1" hidden="1" customWidth="1"/>
    <col min="518" max="525" width="3.42578125" style="1" hidden="1" customWidth="1"/>
    <col min="526" max="526" width="1.5703125" style="1" hidden="1" customWidth="1"/>
    <col min="527" max="527" width="0" style="1" hidden="1" customWidth="1"/>
    <col min="528" max="760" width="0" style="1" hidden="1"/>
    <col min="761" max="764" width="5.28515625" style="1" hidden="1" customWidth="1"/>
    <col min="765" max="765" width="1.85546875" style="1" hidden="1" customWidth="1"/>
    <col min="766" max="766" width="11.7109375" style="1" hidden="1" customWidth="1"/>
    <col min="767" max="767" width="8.140625" style="1" hidden="1" customWidth="1"/>
    <col min="768" max="768" width="11" style="1" hidden="1" customWidth="1"/>
    <col min="769" max="771" width="2.7109375" style="1" hidden="1" customWidth="1"/>
    <col min="772" max="773" width="2.85546875" style="1" hidden="1" customWidth="1"/>
    <col min="774" max="781" width="3.42578125" style="1" hidden="1" customWidth="1"/>
    <col min="782" max="782" width="1.5703125" style="1" hidden="1" customWidth="1"/>
    <col min="783" max="783" width="0" style="1" hidden="1" customWidth="1"/>
    <col min="784" max="1016" width="0" style="1" hidden="1"/>
    <col min="1017" max="1020" width="5.28515625" style="1" hidden="1" customWidth="1"/>
    <col min="1021" max="1021" width="1.85546875" style="1" hidden="1" customWidth="1"/>
    <col min="1022" max="1022" width="11.7109375" style="1" hidden="1" customWidth="1"/>
    <col min="1023" max="1023" width="8.140625" style="1" hidden="1" customWidth="1"/>
    <col min="1024" max="1024" width="11" style="1" hidden="1" customWidth="1"/>
    <col min="1025" max="1027" width="2.7109375" style="1" hidden="1" customWidth="1"/>
    <col min="1028" max="1029" width="2.85546875" style="1" hidden="1" customWidth="1"/>
    <col min="1030" max="1037" width="3.42578125" style="1" hidden="1" customWidth="1"/>
    <col min="1038" max="1038" width="1.5703125" style="1" hidden="1" customWidth="1"/>
    <col min="1039" max="1039" width="0" style="1" hidden="1" customWidth="1"/>
    <col min="1040" max="1272" width="0" style="1" hidden="1"/>
    <col min="1273" max="1276" width="5.28515625" style="1" hidden="1" customWidth="1"/>
    <col min="1277" max="1277" width="1.85546875" style="1" hidden="1" customWidth="1"/>
    <col min="1278" max="1278" width="11.7109375" style="1" hidden="1" customWidth="1"/>
    <col min="1279" max="1279" width="8.140625" style="1" hidden="1" customWidth="1"/>
    <col min="1280" max="1280" width="11" style="1" hidden="1" customWidth="1"/>
    <col min="1281" max="1283" width="2.7109375" style="1" hidden="1" customWidth="1"/>
    <col min="1284" max="1285" width="2.85546875" style="1" hidden="1" customWidth="1"/>
    <col min="1286" max="1293" width="3.42578125" style="1" hidden="1" customWidth="1"/>
    <col min="1294" max="1294" width="1.5703125" style="1" hidden="1" customWidth="1"/>
    <col min="1295" max="1295" width="0" style="1" hidden="1" customWidth="1"/>
    <col min="1296" max="1528" width="0" style="1" hidden="1"/>
    <col min="1529" max="1532" width="5.28515625" style="1" hidden="1" customWidth="1"/>
    <col min="1533" max="1533" width="1.85546875" style="1" hidden="1" customWidth="1"/>
    <col min="1534" max="1534" width="11.7109375" style="1" hidden="1" customWidth="1"/>
    <col min="1535" max="1535" width="8.140625" style="1" hidden="1" customWidth="1"/>
    <col min="1536" max="1536" width="11" style="1" hidden="1" customWidth="1"/>
    <col min="1537" max="1539" width="2.7109375" style="1" hidden="1" customWidth="1"/>
    <col min="1540" max="1541" width="2.85546875" style="1" hidden="1" customWidth="1"/>
    <col min="1542" max="1549" width="3.42578125" style="1" hidden="1" customWidth="1"/>
    <col min="1550" max="1550" width="1.5703125" style="1" hidden="1" customWidth="1"/>
    <col min="1551" max="1551" width="0" style="1" hidden="1" customWidth="1"/>
    <col min="1552" max="1784" width="0" style="1" hidden="1"/>
    <col min="1785" max="1788" width="5.28515625" style="1" hidden="1" customWidth="1"/>
    <col min="1789" max="1789" width="1.85546875" style="1" hidden="1" customWidth="1"/>
    <col min="1790" max="1790" width="11.7109375" style="1" hidden="1" customWidth="1"/>
    <col min="1791" max="1791" width="8.140625" style="1" hidden="1" customWidth="1"/>
    <col min="1792" max="1792" width="11" style="1" hidden="1" customWidth="1"/>
    <col min="1793" max="1795" width="2.7109375" style="1" hidden="1" customWidth="1"/>
    <col min="1796" max="1797" width="2.85546875" style="1" hidden="1" customWidth="1"/>
    <col min="1798" max="1805" width="3.42578125" style="1" hidden="1" customWidth="1"/>
    <col min="1806" max="1806" width="1.5703125" style="1" hidden="1" customWidth="1"/>
    <col min="1807" max="1807" width="0" style="1" hidden="1" customWidth="1"/>
    <col min="1808" max="2040" width="0" style="1" hidden="1"/>
    <col min="2041" max="2044" width="5.28515625" style="1" hidden="1" customWidth="1"/>
    <col min="2045" max="2045" width="1.85546875" style="1" hidden="1" customWidth="1"/>
    <col min="2046" max="2046" width="11.7109375" style="1" hidden="1" customWidth="1"/>
    <col min="2047" max="2047" width="8.140625" style="1" hidden="1" customWidth="1"/>
    <col min="2048" max="2048" width="11" style="1" hidden="1" customWidth="1"/>
    <col min="2049" max="2051" width="2.7109375" style="1" hidden="1" customWidth="1"/>
    <col min="2052" max="2053" width="2.85546875" style="1" hidden="1" customWidth="1"/>
    <col min="2054" max="2061" width="3.42578125" style="1" hidden="1" customWidth="1"/>
    <col min="2062" max="2062" width="1.5703125" style="1" hidden="1" customWidth="1"/>
    <col min="2063" max="2063" width="0" style="1" hidden="1" customWidth="1"/>
    <col min="2064" max="2296" width="0" style="1" hidden="1"/>
    <col min="2297" max="2300" width="5.28515625" style="1" hidden="1" customWidth="1"/>
    <col min="2301" max="2301" width="1.85546875" style="1" hidden="1" customWidth="1"/>
    <col min="2302" max="2302" width="11.7109375" style="1" hidden="1" customWidth="1"/>
    <col min="2303" max="2303" width="8.140625" style="1" hidden="1" customWidth="1"/>
    <col min="2304" max="2304" width="11" style="1" hidden="1" customWidth="1"/>
    <col min="2305" max="2307" width="2.7109375" style="1" hidden="1" customWidth="1"/>
    <col min="2308" max="2309" width="2.85546875" style="1" hidden="1" customWidth="1"/>
    <col min="2310" max="2317" width="3.42578125" style="1" hidden="1" customWidth="1"/>
    <col min="2318" max="2318" width="1.5703125" style="1" hidden="1" customWidth="1"/>
    <col min="2319" max="2319" width="0" style="1" hidden="1" customWidth="1"/>
    <col min="2320" max="2552" width="0" style="1" hidden="1"/>
    <col min="2553" max="2556" width="5.28515625" style="1" hidden="1" customWidth="1"/>
    <col min="2557" max="2557" width="1.85546875" style="1" hidden="1" customWidth="1"/>
    <col min="2558" max="2558" width="11.7109375" style="1" hidden="1" customWidth="1"/>
    <col min="2559" max="2559" width="8.140625" style="1" hidden="1" customWidth="1"/>
    <col min="2560" max="2560" width="11" style="1" hidden="1" customWidth="1"/>
    <col min="2561" max="2563" width="2.7109375" style="1" hidden="1" customWidth="1"/>
    <col min="2564" max="2565" width="2.85546875" style="1" hidden="1" customWidth="1"/>
    <col min="2566" max="2573" width="3.42578125" style="1" hidden="1" customWidth="1"/>
    <col min="2574" max="2574" width="1.5703125" style="1" hidden="1" customWidth="1"/>
    <col min="2575" max="2575" width="0" style="1" hidden="1" customWidth="1"/>
    <col min="2576" max="2808" width="0" style="1" hidden="1"/>
    <col min="2809" max="2812" width="5.28515625" style="1" hidden="1" customWidth="1"/>
    <col min="2813" max="2813" width="1.85546875" style="1" hidden="1" customWidth="1"/>
    <col min="2814" max="2814" width="11.7109375" style="1" hidden="1" customWidth="1"/>
    <col min="2815" max="2815" width="8.140625" style="1" hidden="1" customWidth="1"/>
    <col min="2816" max="2816" width="11" style="1" hidden="1" customWidth="1"/>
    <col min="2817" max="2819" width="2.7109375" style="1" hidden="1" customWidth="1"/>
    <col min="2820" max="2821" width="2.85546875" style="1" hidden="1" customWidth="1"/>
    <col min="2822" max="2829" width="3.42578125" style="1" hidden="1" customWidth="1"/>
    <col min="2830" max="2830" width="1.5703125" style="1" hidden="1" customWidth="1"/>
    <col min="2831" max="2831" width="0" style="1" hidden="1" customWidth="1"/>
    <col min="2832" max="3064" width="0" style="1" hidden="1"/>
    <col min="3065" max="3068" width="5.28515625" style="1" hidden="1" customWidth="1"/>
    <col min="3069" max="3069" width="1.85546875" style="1" hidden="1" customWidth="1"/>
    <col min="3070" max="3070" width="11.7109375" style="1" hidden="1" customWidth="1"/>
    <col min="3071" max="3071" width="8.140625" style="1" hidden="1" customWidth="1"/>
    <col min="3072" max="3072" width="11" style="1" hidden="1" customWidth="1"/>
    <col min="3073" max="3075" width="2.7109375" style="1" hidden="1" customWidth="1"/>
    <col min="3076" max="3077" width="2.85546875" style="1" hidden="1" customWidth="1"/>
    <col min="3078" max="3085" width="3.42578125" style="1" hidden="1" customWidth="1"/>
    <col min="3086" max="3086" width="1.5703125" style="1" hidden="1" customWidth="1"/>
    <col min="3087" max="3087" width="0" style="1" hidden="1" customWidth="1"/>
    <col min="3088" max="3320" width="0" style="1" hidden="1"/>
    <col min="3321" max="3324" width="5.28515625" style="1" hidden="1" customWidth="1"/>
    <col min="3325" max="3325" width="1.85546875" style="1" hidden="1" customWidth="1"/>
    <col min="3326" max="3326" width="11.7109375" style="1" hidden="1" customWidth="1"/>
    <col min="3327" max="3327" width="8.140625" style="1" hidden="1" customWidth="1"/>
    <col min="3328" max="3328" width="11" style="1" hidden="1" customWidth="1"/>
    <col min="3329" max="3331" width="2.7109375" style="1" hidden="1" customWidth="1"/>
    <col min="3332" max="3333" width="2.85546875" style="1" hidden="1" customWidth="1"/>
    <col min="3334" max="3341" width="3.42578125" style="1" hidden="1" customWidth="1"/>
    <col min="3342" max="3342" width="1.5703125" style="1" hidden="1" customWidth="1"/>
    <col min="3343" max="3343" width="0" style="1" hidden="1" customWidth="1"/>
    <col min="3344" max="3576" width="0" style="1" hidden="1"/>
    <col min="3577" max="3580" width="5.28515625" style="1" hidden="1" customWidth="1"/>
    <col min="3581" max="3581" width="1.85546875" style="1" hidden="1" customWidth="1"/>
    <col min="3582" max="3582" width="11.7109375" style="1" hidden="1" customWidth="1"/>
    <col min="3583" max="3583" width="8.140625" style="1" hidden="1" customWidth="1"/>
    <col min="3584" max="3584" width="11" style="1" hidden="1" customWidth="1"/>
    <col min="3585" max="3587" width="2.7109375" style="1" hidden="1" customWidth="1"/>
    <col min="3588" max="3589" width="2.85546875" style="1" hidden="1" customWidth="1"/>
    <col min="3590" max="3597" width="3.42578125" style="1" hidden="1" customWidth="1"/>
    <col min="3598" max="3598" width="1.5703125" style="1" hidden="1" customWidth="1"/>
    <col min="3599" max="3599" width="0" style="1" hidden="1" customWidth="1"/>
    <col min="3600" max="3832" width="0" style="1" hidden="1"/>
    <col min="3833" max="3836" width="5.28515625" style="1" hidden="1" customWidth="1"/>
    <col min="3837" max="3837" width="1.85546875" style="1" hidden="1" customWidth="1"/>
    <col min="3838" max="3838" width="11.7109375" style="1" hidden="1" customWidth="1"/>
    <col min="3839" max="3839" width="8.140625" style="1" hidden="1" customWidth="1"/>
    <col min="3840" max="3840" width="11" style="1" hidden="1" customWidth="1"/>
    <col min="3841" max="3843" width="2.7109375" style="1" hidden="1" customWidth="1"/>
    <col min="3844" max="3845" width="2.85546875" style="1" hidden="1" customWidth="1"/>
    <col min="3846" max="3853" width="3.42578125" style="1" hidden="1" customWidth="1"/>
    <col min="3854" max="3854" width="1.5703125" style="1" hidden="1" customWidth="1"/>
    <col min="3855" max="3855" width="0" style="1" hidden="1" customWidth="1"/>
    <col min="3856" max="4088" width="0" style="1" hidden="1"/>
    <col min="4089" max="4092" width="5.28515625" style="1" hidden="1" customWidth="1"/>
    <col min="4093" max="4093" width="1.85546875" style="1" hidden="1" customWidth="1"/>
    <col min="4094" max="4094" width="11.7109375" style="1" hidden="1" customWidth="1"/>
    <col min="4095" max="4095" width="8.140625" style="1" hidden="1" customWidth="1"/>
    <col min="4096" max="4096" width="11" style="1" hidden="1" customWidth="1"/>
    <col min="4097" max="4099" width="2.7109375" style="1" hidden="1" customWidth="1"/>
    <col min="4100" max="4101" width="2.85546875" style="1" hidden="1" customWidth="1"/>
    <col min="4102" max="4109" width="3.42578125" style="1" hidden="1" customWidth="1"/>
    <col min="4110" max="4110" width="1.5703125" style="1" hidden="1" customWidth="1"/>
    <col min="4111" max="4111" width="0" style="1" hidden="1" customWidth="1"/>
    <col min="4112" max="4344" width="0" style="1" hidden="1"/>
    <col min="4345" max="4348" width="5.28515625" style="1" hidden="1" customWidth="1"/>
    <col min="4349" max="4349" width="1.85546875" style="1" hidden="1" customWidth="1"/>
    <col min="4350" max="4350" width="11.7109375" style="1" hidden="1" customWidth="1"/>
    <col min="4351" max="4351" width="8.140625" style="1" hidden="1" customWidth="1"/>
    <col min="4352" max="4352" width="11" style="1" hidden="1" customWidth="1"/>
    <col min="4353" max="4355" width="2.7109375" style="1" hidden="1" customWidth="1"/>
    <col min="4356" max="4357" width="2.85546875" style="1" hidden="1" customWidth="1"/>
    <col min="4358" max="4365" width="3.42578125" style="1" hidden="1" customWidth="1"/>
    <col min="4366" max="4366" width="1.5703125" style="1" hidden="1" customWidth="1"/>
    <col min="4367" max="4367" width="0" style="1" hidden="1" customWidth="1"/>
    <col min="4368" max="4600" width="0" style="1" hidden="1"/>
    <col min="4601" max="4604" width="5.28515625" style="1" hidden="1" customWidth="1"/>
    <col min="4605" max="4605" width="1.85546875" style="1" hidden="1" customWidth="1"/>
    <col min="4606" max="4606" width="11.7109375" style="1" hidden="1" customWidth="1"/>
    <col min="4607" max="4607" width="8.140625" style="1" hidden="1" customWidth="1"/>
    <col min="4608" max="4608" width="11" style="1" hidden="1" customWidth="1"/>
    <col min="4609" max="4611" width="2.7109375" style="1" hidden="1" customWidth="1"/>
    <col min="4612" max="4613" width="2.85546875" style="1" hidden="1" customWidth="1"/>
    <col min="4614" max="4621" width="3.42578125" style="1" hidden="1" customWidth="1"/>
    <col min="4622" max="4622" width="1.5703125" style="1" hidden="1" customWidth="1"/>
    <col min="4623" max="4623" width="0" style="1" hidden="1" customWidth="1"/>
    <col min="4624" max="4856" width="0" style="1" hidden="1"/>
    <col min="4857" max="4860" width="5.28515625" style="1" hidden="1" customWidth="1"/>
    <col min="4861" max="4861" width="1.85546875" style="1" hidden="1" customWidth="1"/>
    <col min="4862" max="4862" width="11.7109375" style="1" hidden="1" customWidth="1"/>
    <col min="4863" max="4863" width="8.140625" style="1" hidden="1" customWidth="1"/>
    <col min="4864" max="4864" width="11" style="1" hidden="1" customWidth="1"/>
    <col min="4865" max="4867" width="2.7109375" style="1" hidden="1" customWidth="1"/>
    <col min="4868" max="4869" width="2.85546875" style="1" hidden="1" customWidth="1"/>
    <col min="4870" max="4877" width="3.42578125" style="1" hidden="1" customWidth="1"/>
    <col min="4878" max="4878" width="1.5703125" style="1" hidden="1" customWidth="1"/>
    <col min="4879" max="4879" width="0" style="1" hidden="1" customWidth="1"/>
    <col min="4880" max="5112" width="0" style="1" hidden="1"/>
    <col min="5113" max="5116" width="5.28515625" style="1" hidden="1" customWidth="1"/>
    <col min="5117" max="5117" width="1.85546875" style="1" hidden="1" customWidth="1"/>
    <col min="5118" max="5118" width="11.7109375" style="1" hidden="1" customWidth="1"/>
    <col min="5119" max="5119" width="8.140625" style="1" hidden="1" customWidth="1"/>
    <col min="5120" max="5120" width="11" style="1" hidden="1" customWidth="1"/>
    <col min="5121" max="5123" width="2.7109375" style="1" hidden="1" customWidth="1"/>
    <col min="5124" max="5125" width="2.85546875" style="1" hidden="1" customWidth="1"/>
    <col min="5126" max="5133" width="3.42578125" style="1" hidden="1" customWidth="1"/>
    <col min="5134" max="5134" width="1.5703125" style="1" hidden="1" customWidth="1"/>
    <col min="5135" max="5135" width="0" style="1" hidden="1" customWidth="1"/>
    <col min="5136" max="5368" width="0" style="1" hidden="1"/>
    <col min="5369" max="5372" width="5.28515625" style="1" hidden="1" customWidth="1"/>
    <col min="5373" max="5373" width="1.85546875" style="1" hidden="1" customWidth="1"/>
    <col min="5374" max="5374" width="11.7109375" style="1" hidden="1" customWidth="1"/>
    <col min="5375" max="5375" width="8.140625" style="1" hidden="1" customWidth="1"/>
    <col min="5376" max="5376" width="11" style="1" hidden="1" customWidth="1"/>
    <col min="5377" max="5379" width="2.7109375" style="1" hidden="1" customWidth="1"/>
    <col min="5380" max="5381" width="2.85546875" style="1" hidden="1" customWidth="1"/>
    <col min="5382" max="5389" width="3.42578125" style="1" hidden="1" customWidth="1"/>
    <col min="5390" max="5390" width="1.5703125" style="1" hidden="1" customWidth="1"/>
    <col min="5391" max="5391" width="0" style="1" hidden="1" customWidth="1"/>
    <col min="5392" max="5624" width="0" style="1" hidden="1"/>
    <col min="5625" max="5628" width="5.28515625" style="1" hidden="1" customWidth="1"/>
    <col min="5629" max="5629" width="1.85546875" style="1" hidden="1" customWidth="1"/>
    <col min="5630" max="5630" width="11.7109375" style="1" hidden="1" customWidth="1"/>
    <col min="5631" max="5631" width="8.140625" style="1" hidden="1" customWidth="1"/>
    <col min="5632" max="5632" width="11" style="1" hidden="1" customWidth="1"/>
    <col min="5633" max="5635" width="2.7109375" style="1" hidden="1" customWidth="1"/>
    <col min="5636" max="5637" width="2.85546875" style="1" hidden="1" customWidth="1"/>
    <col min="5638" max="5645" width="3.42578125" style="1" hidden="1" customWidth="1"/>
    <col min="5646" max="5646" width="1.5703125" style="1" hidden="1" customWidth="1"/>
    <col min="5647" max="5647" width="0" style="1" hidden="1" customWidth="1"/>
    <col min="5648" max="5880" width="0" style="1" hidden="1"/>
    <col min="5881" max="5884" width="5.28515625" style="1" hidden="1" customWidth="1"/>
    <col min="5885" max="5885" width="1.85546875" style="1" hidden="1" customWidth="1"/>
    <col min="5886" max="5886" width="11.7109375" style="1" hidden="1" customWidth="1"/>
    <col min="5887" max="5887" width="8.140625" style="1" hidden="1" customWidth="1"/>
    <col min="5888" max="5888" width="11" style="1" hidden="1" customWidth="1"/>
    <col min="5889" max="5891" width="2.7109375" style="1" hidden="1" customWidth="1"/>
    <col min="5892" max="5893" width="2.85546875" style="1" hidden="1" customWidth="1"/>
    <col min="5894" max="5901" width="3.42578125" style="1" hidden="1" customWidth="1"/>
    <col min="5902" max="5902" width="1.5703125" style="1" hidden="1" customWidth="1"/>
    <col min="5903" max="5903" width="0" style="1" hidden="1" customWidth="1"/>
    <col min="5904" max="6136" width="0" style="1" hidden="1"/>
    <col min="6137" max="6140" width="5.28515625" style="1" hidden="1" customWidth="1"/>
    <col min="6141" max="6141" width="1.85546875" style="1" hidden="1" customWidth="1"/>
    <col min="6142" max="6142" width="11.7109375" style="1" hidden="1" customWidth="1"/>
    <col min="6143" max="6143" width="8.140625" style="1" hidden="1" customWidth="1"/>
    <col min="6144" max="6144" width="11" style="1" hidden="1" customWidth="1"/>
    <col min="6145" max="6147" width="2.7109375" style="1" hidden="1" customWidth="1"/>
    <col min="6148" max="6149" width="2.85546875" style="1" hidden="1" customWidth="1"/>
    <col min="6150" max="6157" width="3.42578125" style="1" hidden="1" customWidth="1"/>
    <col min="6158" max="6158" width="1.5703125" style="1" hidden="1" customWidth="1"/>
    <col min="6159" max="6159" width="0" style="1" hidden="1" customWidth="1"/>
    <col min="6160" max="6392" width="0" style="1" hidden="1"/>
    <col min="6393" max="6396" width="5.28515625" style="1" hidden="1" customWidth="1"/>
    <col min="6397" max="6397" width="1.85546875" style="1" hidden="1" customWidth="1"/>
    <col min="6398" max="6398" width="11.7109375" style="1" hidden="1" customWidth="1"/>
    <col min="6399" max="6399" width="8.140625" style="1" hidden="1" customWidth="1"/>
    <col min="6400" max="6400" width="11" style="1" hidden="1" customWidth="1"/>
    <col min="6401" max="6403" width="2.7109375" style="1" hidden="1" customWidth="1"/>
    <col min="6404" max="6405" width="2.85546875" style="1" hidden="1" customWidth="1"/>
    <col min="6406" max="6413" width="3.42578125" style="1" hidden="1" customWidth="1"/>
    <col min="6414" max="6414" width="1.5703125" style="1" hidden="1" customWidth="1"/>
    <col min="6415" max="6415" width="0" style="1" hidden="1" customWidth="1"/>
    <col min="6416" max="6648" width="0" style="1" hidden="1"/>
    <col min="6649" max="6652" width="5.28515625" style="1" hidden="1" customWidth="1"/>
    <col min="6653" max="6653" width="1.85546875" style="1" hidden="1" customWidth="1"/>
    <col min="6654" max="6654" width="11.7109375" style="1" hidden="1" customWidth="1"/>
    <col min="6655" max="6655" width="8.140625" style="1" hidden="1" customWidth="1"/>
    <col min="6656" max="6656" width="11" style="1" hidden="1" customWidth="1"/>
    <col min="6657" max="6659" width="2.7109375" style="1" hidden="1" customWidth="1"/>
    <col min="6660" max="6661" width="2.85546875" style="1" hidden="1" customWidth="1"/>
    <col min="6662" max="6669" width="3.42578125" style="1" hidden="1" customWidth="1"/>
    <col min="6670" max="6670" width="1.5703125" style="1" hidden="1" customWidth="1"/>
    <col min="6671" max="6671" width="0" style="1" hidden="1" customWidth="1"/>
    <col min="6672" max="6904" width="0" style="1" hidden="1"/>
    <col min="6905" max="6908" width="5.28515625" style="1" hidden="1" customWidth="1"/>
    <col min="6909" max="6909" width="1.85546875" style="1" hidden="1" customWidth="1"/>
    <col min="6910" max="6910" width="11.7109375" style="1" hidden="1" customWidth="1"/>
    <col min="6911" max="6911" width="8.140625" style="1" hidden="1" customWidth="1"/>
    <col min="6912" max="6912" width="11" style="1" hidden="1" customWidth="1"/>
    <col min="6913" max="6915" width="2.7109375" style="1" hidden="1" customWidth="1"/>
    <col min="6916" max="6917" width="2.85546875" style="1" hidden="1" customWidth="1"/>
    <col min="6918" max="6925" width="3.42578125" style="1" hidden="1" customWidth="1"/>
    <col min="6926" max="6926" width="1.5703125" style="1" hidden="1" customWidth="1"/>
    <col min="6927" max="6927" width="0" style="1" hidden="1" customWidth="1"/>
    <col min="6928" max="7160" width="0" style="1" hidden="1"/>
    <col min="7161" max="7164" width="5.28515625" style="1" hidden="1" customWidth="1"/>
    <col min="7165" max="7165" width="1.85546875" style="1" hidden="1" customWidth="1"/>
    <col min="7166" max="7166" width="11.7109375" style="1" hidden="1" customWidth="1"/>
    <col min="7167" max="7167" width="8.140625" style="1" hidden="1" customWidth="1"/>
    <col min="7168" max="7168" width="11" style="1" hidden="1" customWidth="1"/>
    <col min="7169" max="7171" width="2.7109375" style="1" hidden="1" customWidth="1"/>
    <col min="7172" max="7173" width="2.85546875" style="1" hidden="1" customWidth="1"/>
    <col min="7174" max="7181" width="3.42578125" style="1" hidden="1" customWidth="1"/>
    <col min="7182" max="7182" width="1.5703125" style="1" hidden="1" customWidth="1"/>
    <col min="7183" max="7183" width="0" style="1" hidden="1" customWidth="1"/>
    <col min="7184" max="7416" width="0" style="1" hidden="1"/>
    <col min="7417" max="7420" width="5.28515625" style="1" hidden="1" customWidth="1"/>
    <col min="7421" max="7421" width="1.85546875" style="1" hidden="1" customWidth="1"/>
    <col min="7422" max="7422" width="11.7109375" style="1" hidden="1" customWidth="1"/>
    <col min="7423" max="7423" width="8.140625" style="1" hidden="1" customWidth="1"/>
    <col min="7424" max="7424" width="11" style="1" hidden="1" customWidth="1"/>
    <col min="7425" max="7427" width="2.7109375" style="1" hidden="1" customWidth="1"/>
    <col min="7428" max="7429" width="2.85546875" style="1" hidden="1" customWidth="1"/>
    <col min="7430" max="7437" width="3.42578125" style="1" hidden="1" customWidth="1"/>
    <col min="7438" max="7438" width="1.5703125" style="1" hidden="1" customWidth="1"/>
    <col min="7439" max="7439" width="0" style="1" hidden="1" customWidth="1"/>
    <col min="7440" max="7672" width="0" style="1" hidden="1"/>
    <col min="7673" max="7676" width="5.28515625" style="1" hidden="1" customWidth="1"/>
    <col min="7677" max="7677" width="1.85546875" style="1" hidden="1" customWidth="1"/>
    <col min="7678" max="7678" width="11.7109375" style="1" hidden="1" customWidth="1"/>
    <col min="7679" max="7679" width="8.140625" style="1" hidden="1" customWidth="1"/>
    <col min="7680" max="7680" width="11" style="1" hidden="1" customWidth="1"/>
    <col min="7681" max="7683" width="2.7109375" style="1" hidden="1" customWidth="1"/>
    <col min="7684" max="7685" width="2.85546875" style="1" hidden="1" customWidth="1"/>
    <col min="7686" max="7693" width="3.42578125" style="1" hidden="1" customWidth="1"/>
    <col min="7694" max="7694" width="1.5703125" style="1" hidden="1" customWidth="1"/>
    <col min="7695" max="7695" width="0" style="1" hidden="1" customWidth="1"/>
    <col min="7696" max="7928" width="0" style="1" hidden="1"/>
    <col min="7929" max="7932" width="5.28515625" style="1" hidden="1" customWidth="1"/>
    <col min="7933" max="7933" width="1.85546875" style="1" hidden="1" customWidth="1"/>
    <col min="7934" max="7934" width="11.7109375" style="1" hidden="1" customWidth="1"/>
    <col min="7935" max="7935" width="8.140625" style="1" hidden="1" customWidth="1"/>
    <col min="7936" max="7936" width="11" style="1" hidden="1" customWidth="1"/>
    <col min="7937" max="7939" width="2.7109375" style="1" hidden="1" customWidth="1"/>
    <col min="7940" max="7941" width="2.85546875" style="1" hidden="1" customWidth="1"/>
    <col min="7942" max="7949" width="3.42578125" style="1" hidden="1" customWidth="1"/>
    <col min="7950" max="7950" width="1.5703125" style="1" hidden="1" customWidth="1"/>
    <col min="7951" max="7951" width="0" style="1" hidden="1" customWidth="1"/>
    <col min="7952" max="8184" width="0" style="1" hidden="1"/>
    <col min="8185" max="8188" width="5.28515625" style="1" hidden="1" customWidth="1"/>
    <col min="8189" max="8189" width="1.85546875" style="1" hidden="1" customWidth="1"/>
    <col min="8190" max="8190" width="11.7109375" style="1" hidden="1" customWidth="1"/>
    <col min="8191" max="8191" width="8.140625" style="1" hidden="1" customWidth="1"/>
    <col min="8192" max="8192" width="11" style="1" hidden="1" customWidth="1"/>
    <col min="8193" max="8195" width="2.7109375" style="1" hidden="1" customWidth="1"/>
    <col min="8196" max="8197" width="2.85546875" style="1" hidden="1" customWidth="1"/>
    <col min="8198" max="8205" width="3.42578125" style="1" hidden="1" customWidth="1"/>
    <col min="8206" max="8206" width="1.5703125" style="1" hidden="1" customWidth="1"/>
    <col min="8207" max="8207" width="0" style="1" hidden="1" customWidth="1"/>
    <col min="8208" max="8440" width="0" style="1" hidden="1"/>
    <col min="8441" max="8444" width="5.28515625" style="1" hidden="1" customWidth="1"/>
    <col min="8445" max="8445" width="1.85546875" style="1" hidden="1" customWidth="1"/>
    <col min="8446" max="8446" width="11.7109375" style="1" hidden="1" customWidth="1"/>
    <col min="8447" max="8447" width="8.140625" style="1" hidden="1" customWidth="1"/>
    <col min="8448" max="8448" width="11" style="1" hidden="1" customWidth="1"/>
    <col min="8449" max="8451" width="2.7109375" style="1" hidden="1" customWidth="1"/>
    <col min="8452" max="8453" width="2.85546875" style="1" hidden="1" customWidth="1"/>
    <col min="8454" max="8461" width="3.42578125" style="1" hidden="1" customWidth="1"/>
    <col min="8462" max="8462" width="1.5703125" style="1" hidden="1" customWidth="1"/>
    <col min="8463" max="8463" width="0" style="1" hidden="1" customWidth="1"/>
    <col min="8464" max="8696" width="0" style="1" hidden="1"/>
    <col min="8697" max="8700" width="5.28515625" style="1" hidden="1" customWidth="1"/>
    <col min="8701" max="8701" width="1.85546875" style="1" hidden="1" customWidth="1"/>
    <col min="8702" max="8702" width="11.7109375" style="1" hidden="1" customWidth="1"/>
    <col min="8703" max="8703" width="8.140625" style="1" hidden="1" customWidth="1"/>
    <col min="8704" max="8704" width="11" style="1" hidden="1" customWidth="1"/>
    <col min="8705" max="8707" width="2.7109375" style="1" hidden="1" customWidth="1"/>
    <col min="8708" max="8709" width="2.85546875" style="1" hidden="1" customWidth="1"/>
    <col min="8710" max="8717" width="3.42578125" style="1" hidden="1" customWidth="1"/>
    <col min="8718" max="8718" width="1.5703125" style="1" hidden="1" customWidth="1"/>
    <col min="8719" max="8719" width="0" style="1" hidden="1" customWidth="1"/>
    <col min="8720" max="8952" width="0" style="1" hidden="1"/>
    <col min="8953" max="8956" width="5.28515625" style="1" hidden="1" customWidth="1"/>
    <col min="8957" max="8957" width="1.85546875" style="1" hidden="1" customWidth="1"/>
    <col min="8958" max="8958" width="11.7109375" style="1" hidden="1" customWidth="1"/>
    <col min="8959" max="8959" width="8.140625" style="1" hidden="1" customWidth="1"/>
    <col min="8960" max="8960" width="11" style="1" hidden="1" customWidth="1"/>
    <col min="8961" max="8963" width="2.7109375" style="1" hidden="1" customWidth="1"/>
    <col min="8964" max="8965" width="2.85546875" style="1" hidden="1" customWidth="1"/>
    <col min="8966" max="8973" width="3.42578125" style="1" hidden="1" customWidth="1"/>
    <col min="8974" max="8974" width="1.5703125" style="1" hidden="1" customWidth="1"/>
    <col min="8975" max="8975" width="0" style="1" hidden="1" customWidth="1"/>
    <col min="8976" max="9208" width="0" style="1" hidden="1"/>
    <col min="9209" max="9212" width="5.28515625" style="1" hidden="1" customWidth="1"/>
    <col min="9213" max="9213" width="1.85546875" style="1" hidden="1" customWidth="1"/>
    <col min="9214" max="9214" width="11.7109375" style="1" hidden="1" customWidth="1"/>
    <col min="9215" max="9215" width="8.140625" style="1" hidden="1" customWidth="1"/>
    <col min="9216" max="9216" width="11" style="1" hidden="1" customWidth="1"/>
    <col min="9217" max="9219" width="2.7109375" style="1" hidden="1" customWidth="1"/>
    <col min="9220" max="9221" width="2.85546875" style="1" hidden="1" customWidth="1"/>
    <col min="9222" max="9229" width="3.42578125" style="1" hidden="1" customWidth="1"/>
    <col min="9230" max="9230" width="1.5703125" style="1" hidden="1" customWidth="1"/>
    <col min="9231" max="9231" width="0" style="1" hidden="1" customWidth="1"/>
    <col min="9232" max="9464" width="0" style="1" hidden="1"/>
    <col min="9465" max="9468" width="5.28515625" style="1" hidden="1" customWidth="1"/>
    <col min="9469" max="9469" width="1.85546875" style="1" hidden="1" customWidth="1"/>
    <col min="9470" max="9470" width="11.7109375" style="1" hidden="1" customWidth="1"/>
    <col min="9471" max="9471" width="8.140625" style="1" hidden="1" customWidth="1"/>
    <col min="9472" max="9472" width="11" style="1" hidden="1" customWidth="1"/>
    <col min="9473" max="9475" width="2.7109375" style="1" hidden="1" customWidth="1"/>
    <col min="9476" max="9477" width="2.85546875" style="1" hidden="1" customWidth="1"/>
    <col min="9478" max="9485" width="3.42578125" style="1" hidden="1" customWidth="1"/>
    <col min="9486" max="9486" width="1.5703125" style="1" hidden="1" customWidth="1"/>
    <col min="9487" max="9487" width="0" style="1" hidden="1" customWidth="1"/>
    <col min="9488" max="9720" width="0" style="1" hidden="1"/>
    <col min="9721" max="9724" width="5.28515625" style="1" hidden="1" customWidth="1"/>
    <col min="9725" max="9725" width="1.85546875" style="1" hidden="1" customWidth="1"/>
    <col min="9726" max="9726" width="11.7109375" style="1" hidden="1" customWidth="1"/>
    <col min="9727" max="9727" width="8.140625" style="1" hidden="1" customWidth="1"/>
    <col min="9728" max="9728" width="11" style="1" hidden="1" customWidth="1"/>
    <col min="9729" max="9731" width="2.7109375" style="1" hidden="1" customWidth="1"/>
    <col min="9732" max="9733" width="2.85546875" style="1" hidden="1" customWidth="1"/>
    <col min="9734" max="9741" width="3.42578125" style="1" hidden="1" customWidth="1"/>
    <col min="9742" max="9742" width="1.5703125" style="1" hidden="1" customWidth="1"/>
    <col min="9743" max="9743" width="0" style="1" hidden="1" customWidth="1"/>
    <col min="9744" max="9976" width="0" style="1" hidden="1"/>
    <col min="9977" max="9980" width="5.28515625" style="1" hidden="1" customWidth="1"/>
    <col min="9981" max="9981" width="1.85546875" style="1" hidden="1" customWidth="1"/>
    <col min="9982" max="9982" width="11.7109375" style="1" hidden="1" customWidth="1"/>
    <col min="9983" max="9983" width="8.140625" style="1" hidden="1" customWidth="1"/>
    <col min="9984" max="9984" width="11" style="1" hidden="1" customWidth="1"/>
    <col min="9985" max="9987" width="2.7109375" style="1" hidden="1" customWidth="1"/>
    <col min="9988" max="9989" width="2.85546875" style="1" hidden="1" customWidth="1"/>
    <col min="9990" max="9997" width="3.42578125" style="1" hidden="1" customWidth="1"/>
    <col min="9998" max="9998" width="1.5703125" style="1" hidden="1" customWidth="1"/>
    <col min="9999" max="9999" width="0" style="1" hidden="1" customWidth="1"/>
    <col min="10000" max="10232" width="0" style="1" hidden="1"/>
    <col min="10233" max="10236" width="5.28515625" style="1" hidden="1" customWidth="1"/>
    <col min="10237" max="10237" width="1.85546875" style="1" hidden="1" customWidth="1"/>
    <col min="10238" max="10238" width="11.7109375" style="1" hidden="1" customWidth="1"/>
    <col min="10239" max="10239" width="8.140625" style="1" hidden="1" customWidth="1"/>
    <col min="10240" max="10240" width="11" style="1" hidden="1" customWidth="1"/>
    <col min="10241" max="10243" width="2.7109375" style="1" hidden="1" customWidth="1"/>
    <col min="10244" max="10245" width="2.85546875" style="1" hidden="1" customWidth="1"/>
    <col min="10246" max="10253" width="3.42578125" style="1" hidden="1" customWidth="1"/>
    <col min="10254" max="10254" width="1.5703125" style="1" hidden="1" customWidth="1"/>
    <col min="10255" max="10255" width="0" style="1" hidden="1" customWidth="1"/>
    <col min="10256" max="10488" width="0" style="1" hidden="1"/>
    <col min="10489" max="10492" width="5.28515625" style="1" hidden="1" customWidth="1"/>
    <col min="10493" max="10493" width="1.85546875" style="1" hidden="1" customWidth="1"/>
    <col min="10494" max="10494" width="11.7109375" style="1" hidden="1" customWidth="1"/>
    <col min="10495" max="10495" width="8.140625" style="1" hidden="1" customWidth="1"/>
    <col min="10496" max="10496" width="11" style="1" hidden="1" customWidth="1"/>
    <col min="10497" max="10499" width="2.7109375" style="1" hidden="1" customWidth="1"/>
    <col min="10500" max="10501" width="2.85546875" style="1" hidden="1" customWidth="1"/>
    <col min="10502" max="10509" width="3.42578125" style="1" hidden="1" customWidth="1"/>
    <col min="10510" max="10510" width="1.5703125" style="1" hidden="1" customWidth="1"/>
    <col min="10511" max="10511" width="0" style="1" hidden="1" customWidth="1"/>
    <col min="10512" max="10744" width="0" style="1" hidden="1"/>
    <col min="10745" max="10748" width="5.28515625" style="1" hidden="1" customWidth="1"/>
    <col min="10749" max="10749" width="1.85546875" style="1" hidden="1" customWidth="1"/>
    <col min="10750" max="10750" width="11.7109375" style="1" hidden="1" customWidth="1"/>
    <col min="10751" max="10751" width="8.140625" style="1" hidden="1" customWidth="1"/>
    <col min="10752" max="10752" width="11" style="1" hidden="1" customWidth="1"/>
    <col min="10753" max="10755" width="2.7109375" style="1" hidden="1" customWidth="1"/>
    <col min="10756" max="10757" width="2.85546875" style="1" hidden="1" customWidth="1"/>
    <col min="10758" max="10765" width="3.42578125" style="1" hidden="1" customWidth="1"/>
    <col min="10766" max="10766" width="1.5703125" style="1" hidden="1" customWidth="1"/>
    <col min="10767" max="10767" width="0" style="1" hidden="1" customWidth="1"/>
    <col min="10768" max="11000" width="0" style="1" hidden="1"/>
    <col min="11001" max="11004" width="5.28515625" style="1" hidden="1" customWidth="1"/>
    <col min="11005" max="11005" width="1.85546875" style="1" hidden="1" customWidth="1"/>
    <col min="11006" max="11006" width="11.7109375" style="1" hidden="1" customWidth="1"/>
    <col min="11007" max="11007" width="8.140625" style="1" hidden="1" customWidth="1"/>
    <col min="11008" max="11008" width="11" style="1" hidden="1" customWidth="1"/>
    <col min="11009" max="11011" width="2.7109375" style="1" hidden="1" customWidth="1"/>
    <col min="11012" max="11013" width="2.85546875" style="1" hidden="1" customWidth="1"/>
    <col min="11014" max="11021" width="3.42578125" style="1" hidden="1" customWidth="1"/>
    <col min="11022" max="11022" width="1.5703125" style="1" hidden="1" customWidth="1"/>
    <col min="11023" max="11023" width="0" style="1" hidden="1" customWidth="1"/>
    <col min="11024" max="11256" width="0" style="1" hidden="1"/>
    <col min="11257" max="11260" width="5.28515625" style="1" hidden="1" customWidth="1"/>
    <col min="11261" max="11261" width="1.85546875" style="1" hidden="1" customWidth="1"/>
    <col min="11262" max="11262" width="11.7109375" style="1" hidden="1" customWidth="1"/>
    <col min="11263" max="11263" width="8.140625" style="1" hidden="1" customWidth="1"/>
    <col min="11264" max="11264" width="11" style="1" hidden="1" customWidth="1"/>
    <col min="11265" max="11267" width="2.7109375" style="1" hidden="1" customWidth="1"/>
    <col min="11268" max="11269" width="2.85546875" style="1" hidden="1" customWidth="1"/>
    <col min="11270" max="11277" width="3.42578125" style="1" hidden="1" customWidth="1"/>
    <col min="11278" max="11278" width="1.5703125" style="1" hidden="1" customWidth="1"/>
    <col min="11279" max="11279" width="0" style="1" hidden="1" customWidth="1"/>
    <col min="11280" max="11512" width="0" style="1" hidden="1"/>
    <col min="11513" max="11516" width="5.28515625" style="1" hidden="1" customWidth="1"/>
    <col min="11517" max="11517" width="1.85546875" style="1" hidden="1" customWidth="1"/>
    <col min="11518" max="11518" width="11.7109375" style="1" hidden="1" customWidth="1"/>
    <col min="11519" max="11519" width="8.140625" style="1" hidden="1" customWidth="1"/>
    <col min="11520" max="11520" width="11" style="1" hidden="1" customWidth="1"/>
    <col min="11521" max="11523" width="2.7109375" style="1" hidden="1" customWidth="1"/>
    <col min="11524" max="11525" width="2.85546875" style="1" hidden="1" customWidth="1"/>
    <col min="11526" max="11533" width="3.42578125" style="1" hidden="1" customWidth="1"/>
    <col min="11534" max="11534" width="1.5703125" style="1" hidden="1" customWidth="1"/>
    <col min="11535" max="11535" width="0" style="1" hidden="1" customWidth="1"/>
    <col min="11536" max="11768" width="0" style="1" hidden="1"/>
    <col min="11769" max="11772" width="5.28515625" style="1" hidden="1" customWidth="1"/>
    <col min="11773" max="11773" width="1.85546875" style="1" hidden="1" customWidth="1"/>
    <col min="11774" max="11774" width="11.7109375" style="1" hidden="1" customWidth="1"/>
    <col min="11775" max="11775" width="8.140625" style="1" hidden="1" customWidth="1"/>
    <col min="11776" max="11776" width="11" style="1" hidden="1" customWidth="1"/>
    <col min="11777" max="11779" width="2.7109375" style="1" hidden="1" customWidth="1"/>
    <col min="11780" max="11781" width="2.85546875" style="1" hidden="1" customWidth="1"/>
    <col min="11782" max="11789" width="3.42578125" style="1" hidden="1" customWidth="1"/>
    <col min="11790" max="11790" width="1.5703125" style="1" hidden="1" customWidth="1"/>
    <col min="11791" max="11791" width="0" style="1" hidden="1" customWidth="1"/>
    <col min="11792" max="12024" width="0" style="1" hidden="1"/>
    <col min="12025" max="12028" width="5.28515625" style="1" hidden="1" customWidth="1"/>
    <col min="12029" max="12029" width="1.85546875" style="1" hidden="1" customWidth="1"/>
    <col min="12030" max="12030" width="11.7109375" style="1" hidden="1" customWidth="1"/>
    <col min="12031" max="12031" width="8.140625" style="1" hidden="1" customWidth="1"/>
    <col min="12032" max="12032" width="11" style="1" hidden="1" customWidth="1"/>
    <col min="12033" max="12035" width="2.7109375" style="1" hidden="1" customWidth="1"/>
    <col min="12036" max="12037" width="2.85546875" style="1" hidden="1" customWidth="1"/>
    <col min="12038" max="12045" width="3.42578125" style="1" hidden="1" customWidth="1"/>
    <col min="12046" max="12046" width="1.5703125" style="1" hidden="1" customWidth="1"/>
    <col min="12047" max="12047" width="0" style="1" hidden="1" customWidth="1"/>
    <col min="12048" max="12280" width="0" style="1" hidden="1"/>
    <col min="12281" max="12284" width="5.28515625" style="1" hidden="1" customWidth="1"/>
    <col min="12285" max="12285" width="1.85546875" style="1" hidden="1" customWidth="1"/>
    <col min="12286" max="12286" width="11.7109375" style="1" hidden="1" customWidth="1"/>
    <col min="12287" max="12287" width="8.140625" style="1" hidden="1" customWidth="1"/>
    <col min="12288" max="12288" width="11" style="1" hidden="1" customWidth="1"/>
    <col min="12289" max="12291" width="2.7109375" style="1" hidden="1" customWidth="1"/>
    <col min="12292" max="12293" width="2.85546875" style="1" hidden="1" customWidth="1"/>
    <col min="12294" max="12301" width="3.42578125" style="1" hidden="1" customWidth="1"/>
    <col min="12302" max="12302" width="1.5703125" style="1" hidden="1" customWidth="1"/>
    <col min="12303" max="12303" width="0" style="1" hidden="1" customWidth="1"/>
    <col min="12304" max="12536" width="0" style="1" hidden="1"/>
    <col min="12537" max="12540" width="5.28515625" style="1" hidden="1" customWidth="1"/>
    <col min="12541" max="12541" width="1.85546875" style="1" hidden="1" customWidth="1"/>
    <col min="12542" max="12542" width="11.7109375" style="1" hidden="1" customWidth="1"/>
    <col min="12543" max="12543" width="8.140625" style="1" hidden="1" customWidth="1"/>
    <col min="12544" max="12544" width="11" style="1" hidden="1" customWidth="1"/>
    <col min="12545" max="12547" width="2.7109375" style="1" hidden="1" customWidth="1"/>
    <col min="12548" max="12549" width="2.85546875" style="1" hidden="1" customWidth="1"/>
    <col min="12550" max="12557" width="3.42578125" style="1" hidden="1" customWidth="1"/>
    <col min="12558" max="12558" width="1.5703125" style="1" hidden="1" customWidth="1"/>
    <col min="12559" max="12559" width="0" style="1" hidden="1" customWidth="1"/>
    <col min="12560" max="12792" width="0" style="1" hidden="1"/>
    <col min="12793" max="12796" width="5.28515625" style="1" hidden="1" customWidth="1"/>
    <col min="12797" max="12797" width="1.85546875" style="1" hidden="1" customWidth="1"/>
    <col min="12798" max="12798" width="11.7109375" style="1" hidden="1" customWidth="1"/>
    <col min="12799" max="12799" width="8.140625" style="1" hidden="1" customWidth="1"/>
    <col min="12800" max="12800" width="11" style="1" hidden="1" customWidth="1"/>
    <col min="12801" max="12803" width="2.7109375" style="1" hidden="1" customWidth="1"/>
    <col min="12804" max="12805" width="2.85546875" style="1" hidden="1" customWidth="1"/>
    <col min="12806" max="12813" width="3.42578125" style="1" hidden="1" customWidth="1"/>
    <col min="12814" max="12814" width="1.5703125" style="1" hidden="1" customWidth="1"/>
    <col min="12815" max="12815" width="0" style="1" hidden="1" customWidth="1"/>
    <col min="12816" max="13048" width="0" style="1" hidden="1"/>
    <col min="13049" max="13052" width="5.28515625" style="1" hidden="1" customWidth="1"/>
    <col min="13053" max="13053" width="1.85546875" style="1" hidden="1" customWidth="1"/>
    <col min="13054" max="13054" width="11.7109375" style="1" hidden="1" customWidth="1"/>
    <col min="13055" max="13055" width="8.140625" style="1" hidden="1" customWidth="1"/>
    <col min="13056" max="13056" width="11" style="1" hidden="1" customWidth="1"/>
    <col min="13057" max="13059" width="2.7109375" style="1" hidden="1" customWidth="1"/>
    <col min="13060" max="13061" width="2.85546875" style="1" hidden="1" customWidth="1"/>
    <col min="13062" max="13069" width="3.42578125" style="1" hidden="1" customWidth="1"/>
    <col min="13070" max="13070" width="1.5703125" style="1" hidden="1" customWidth="1"/>
    <col min="13071" max="13071" width="0" style="1" hidden="1" customWidth="1"/>
    <col min="13072" max="13304" width="0" style="1" hidden="1"/>
    <col min="13305" max="13308" width="5.28515625" style="1" hidden="1" customWidth="1"/>
    <col min="13309" max="13309" width="1.85546875" style="1" hidden="1" customWidth="1"/>
    <col min="13310" max="13310" width="11.7109375" style="1" hidden="1" customWidth="1"/>
    <col min="13311" max="13311" width="8.140625" style="1" hidden="1" customWidth="1"/>
    <col min="13312" max="13312" width="11" style="1" hidden="1" customWidth="1"/>
    <col min="13313" max="13315" width="2.7109375" style="1" hidden="1" customWidth="1"/>
    <col min="13316" max="13317" width="2.85546875" style="1" hidden="1" customWidth="1"/>
    <col min="13318" max="13325" width="3.42578125" style="1" hidden="1" customWidth="1"/>
    <col min="13326" max="13326" width="1.5703125" style="1" hidden="1" customWidth="1"/>
    <col min="13327" max="13327" width="0" style="1" hidden="1" customWidth="1"/>
    <col min="13328" max="13560" width="0" style="1" hidden="1"/>
    <col min="13561" max="13564" width="5.28515625" style="1" hidden="1" customWidth="1"/>
    <col min="13565" max="13565" width="1.85546875" style="1" hidden="1" customWidth="1"/>
    <col min="13566" max="13566" width="11.7109375" style="1" hidden="1" customWidth="1"/>
    <col min="13567" max="13567" width="8.140625" style="1" hidden="1" customWidth="1"/>
    <col min="13568" max="13568" width="11" style="1" hidden="1" customWidth="1"/>
    <col min="13569" max="13571" width="2.7109375" style="1" hidden="1" customWidth="1"/>
    <col min="13572" max="13573" width="2.85546875" style="1" hidden="1" customWidth="1"/>
    <col min="13574" max="13581" width="3.42578125" style="1" hidden="1" customWidth="1"/>
    <col min="13582" max="13582" width="1.5703125" style="1" hidden="1" customWidth="1"/>
    <col min="13583" max="13583" width="0" style="1" hidden="1" customWidth="1"/>
    <col min="13584" max="13816" width="0" style="1" hidden="1"/>
    <col min="13817" max="13820" width="5.28515625" style="1" hidden="1" customWidth="1"/>
    <col min="13821" max="13821" width="1.85546875" style="1" hidden="1" customWidth="1"/>
    <col min="13822" max="13822" width="11.7109375" style="1" hidden="1" customWidth="1"/>
    <col min="13823" max="13823" width="8.140625" style="1" hidden="1" customWidth="1"/>
    <col min="13824" max="13824" width="11" style="1" hidden="1" customWidth="1"/>
    <col min="13825" max="13827" width="2.7109375" style="1" hidden="1" customWidth="1"/>
    <col min="13828" max="13829" width="2.85546875" style="1" hidden="1" customWidth="1"/>
    <col min="13830" max="13837" width="3.42578125" style="1" hidden="1" customWidth="1"/>
    <col min="13838" max="13838" width="1.5703125" style="1" hidden="1" customWidth="1"/>
    <col min="13839" max="13839" width="0" style="1" hidden="1" customWidth="1"/>
    <col min="13840" max="14072" width="0" style="1" hidden="1"/>
    <col min="14073" max="14076" width="5.28515625" style="1" hidden="1" customWidth="1"/>
    <col min="14077" max="14077" width="1.85546875" style="1" hidden="1" customWidth="1"/>
    <col min="14078" max="14078" width="11.7109375" style="1" hidden="1" customWidth="1"/>
    <col min="14079" max="14079" width="8.140625" style="1" hidden="1" customWidth="1"/>
    <col min="14080" max="14080" width="11" style="1" hidden="1" customWidth="1"/>
    <col min="14081" max="14083" width="2.7109375" style="1" hidden="1" customWidth="1"/>
    <col min="14084" max="14085" width="2.85546875" style="1" hidden="1" customWidth="1"/>
    <col min="14086" max="14093" width="3.42578125" style="1" hidden="1" customWidth="1"/>
    <col min="14094" max="14094" width="1.5703125" style="1" hidden="1" customWidth="1"/>
    <col min="14095" max="14095" width="0" style="1" hidden="1" customWidth="1"/>
    <col min="14096" max="14328" width="0" style="1" hidden="1"/>
    <col min="14329" max="14332" width="5.28515625" style="1" hidden="1" customWidth="1"/>
    <col min="14333" max="14333" width="1.85546875" style="1" hidden="1" customWidth="1"/>
    <col min="14334" max="14334" width="11.7109375" style="1" hidden="1" customWidth="1"/>
    <col min="14335" max="14335" width="8.140625" style="1" hidden="1" customWidth="1"/>
    <col min="14336" max="14336" width="11" style="1" hidden="1" customWidth="1"/>
    <col min="14337" max="14339" width="2.7109375" style="1" hidden="1" customWidth="1"/>
    <col min="14340" max="14341" width="2.85546875" style="1" hidden="1" customWidth="1"/>
    <col min="14342" max="14349" width="3.42578125" style="1" hidden="1" customWidth="1"/>
    <col min="14350" max="14350" width="1.5703125" style="1" hidden="1" customWidth="1"/>
    <col min="14351" max="14351" width="0" style="1" hidden="1" customWidth="1"/>
    <col min="14352" max="14584" width="0" style="1" hidden="1"/>
    <col min="14585" max="14588" width="5.28515625" style="1" hidden="1" customWidth="1"/>
    <col min="14589" max="14589" width="1.85546875" style="1" hidden="1" customWidth="1"/>
    <col min="14590" max="14590" width="11.7109375" style="1" hidden="1" customWidth="1"/>
    <col min="14591" max="14591" width="8.140625" style="1" hidden="1" customWidth="1"/>
    <col min="14592" max="14592" width="11" style="1" hidden="1" customWidth="1"/>
    <col min="14593" max="14595" width="2.7109375" style="1" hidden="1" customWidth="1"/>
    <col min="14596" max="14597" width="2.85546875" style="1" hidden="1" customWidth="1"/>
    <col min="14598" max="14605" width="3.42578125" style="1" hidden="1" customWidth="1"/>
    <col min="14606" max="14606" width="1.5703125" style="1" hidden="1" customWidth="1"/>
    <col min="14607" max="14607" width="0" style="1" hidden="1" customWidth="1"/>
    <col min="14608" max="14840" width="0" style="1" hidden="1"/>
    <col min="14841" max="14844" width="5.28515625" style="1" hidden="1" customWidth="1"/>
    <col min="14845" max="14845" width="1.85546875" style="1" hidden="1" customWidth="1"/>
    <col min="14846" max="14846" width="11.7109375" style="1" hidden="1" customWidth="1"/>
    <col min="14847" max="14847" width="8.140625" style="1" hidden="1" customWidth="1"/>
    <col min="14848" max="14848" width="11" style="1" hidden="1" customWidth="1"/>
    <col min="14849" max="14851" width="2.7109375" style="1" hidden="1" customWidth="1"/>
    <col min="14852" max="14853" width="2.85546875" style="1" hidden="1" customWidth="1"/>
    <col min="14854" max="14861" width="3.42578125" style="1" hidden="1" customWidth="1"/>
    <col min="14862" max="14862" width="1.5703125" style="1" hidden="1" customWidth="1"/>
    <col min="14863" max="14863" width="0" style="1" hidden="1" customWidth="1"/>
    <col min="14864" max="15096" width="0" style="1" hidden="1"/>
    <col min="15097" max="15100" width="5.28515625" style="1" hidden="1" customWidth="1"/>
    <col min="15101" max="15101" width="1.85546875" style="1" hidden="1" customWidth="1"/>
    <col min="15102" max="15102" width="11.7109375" style="1" hidden="1" customWidth="1"/>
    <col min="15103" max="15103" width="8.140625" style="1" hidden="1" customWidth="1"/>
    <col min="15104" max="15104" width="11" style="1" hidden="1" customWidth="1"/>
    <col min="15105" max="15107" width="2.7109375" style="1" hidden="1" customWidth="1"/>
    <col min="15108" max="15109" width="2.85546875" style="1" hidden="1" customWidth="1"/>
    <col min="15110" max="15117" width="3.42578125" style="1" hidden="1" customWidth="1"/>
    <col min="15118" max="15118" width="1.5703125" style="1" hidden="1" customWidth="1"/>
    <col min="15119" max="15119" width="0" style="1" hidden="1" customWidth="1"/>
    <col min="15120" max="15352" width="0" style="1" hidden="1"/>
    <col min="15353" max="15356" width="5.28515625" style="1" hidden="1" customWidth="1"/>
    <col min="15357" max="15357" width="1.85546875" style="1" hidden="1" customWidth="1"/>
    <col min="15358" max="15358" width="11.7109375" style="1" hidden="1" customWidth="1"/>
    <col min="15359" max="15359" width="8.140625" style="1" hidden="1" customWidth="1"/>
    <col min="15360" max="15360" width="11" style="1" hidden="1" customWidth="1"/>
    <col min="15361" max="15363" width="2.7109375" style="1" hidden="1" customWidth="1"/>
    <col min="15364" max="15365" width="2.85546875" style="1" hidden="1" customWidth="1"/>
    <col min="15366" max="15373" width="3.42578125" style="1" hidden="1" customWidth="1"/>
    <col min="15374" max="15374" width="1.5703125" style="1" hidden="1" customWidth="1"/>
    <col min="15375" max="15375" width="0" style="1" hidden="1" customWidth="1"/>
    <col min="15376" max="15608" width="0" style="1" hidden="1"/>
    <col min="15609" max="15612" width="5.28515625" style="1" hidden="1" customWidth="1"/>
    <col min="15613" max="15613" width="1.85546875" style="1" hidden="1" customWidth="1"/>
    <col min="15614" max="15614" width="11.7109375" style="1" hidden="1" customWidth="1"/>
    <col min="15615" max="15615" width="8.140625" style="1" hidden="1" customWidth="1"/>
    <col min="15616" max="15616" width="11" style="1" hidden="1" customWidth="1"/>
    <col min="15617" max="15619" width="2.7109375" style="1" hidden="1" customWidth="1"/>
    <col min="15620" max="15621" width="2.85546875" style="1" hidden="1" customWidth="1"/>
    <col min="15622" max="15629" width="3.42578125" style="1" hidden="1" customWidth="1"/>
    <col min="15630" max="15630" width="1.5703125" style="1" hidden="1" customWidth="1"/>
    <col min="15631" max="15631" width="0" style="1" hidden="1" customWidth="1"/>
    <col min="15632" max="15864" width="0" style="1" hidden="1"/>
    <col min="15865" max="15868" width="5.28515625" style="1" hidden="1" customWidth="1"/>
    <col min="15869" max="15869" width="1.85546875" style="1" hidden="1" customWidth="1"/>
    <col min="15870" max="15870" width="11.7109375" style="1" hidden="1" customWidth="1"/>
    <col min="15871" max="15871" width="8.140625" style="1" hidden="1" customWidth="1"/>
    <col min="15872" max="15872" width="11" style="1" hidden="1" customWidth="1"/>
    <col min="15873" max="15875" width="2.7109375" style="1" hidden="1" customWidth="1"/>
    <col min="15876" max="15877" width="2.85546875" style="1" hidden="1" customWidth="1"/>
    <col min="15878" max="15885" width="3.42578125" style="1" hidden="1" customWidth="1"/>
    <col min="15886" max="15886" width="1.5703125" style="1" hidden="1" customWidth="1"/>
    <col min="15887" max="15887" width="0" style="1" hidden="1" customWidth="1"/>
    <col min="15888" max="16120" width="0" style="1" hidden="1"/>
    <col min="16121" max="16124" width="5.28515625" style="1" hidden="1" customWidth="1"/>
    <col min="16125" max="16125" width="1.85546875" style="1" hidden="1" customWidth="1"/>
    <col min="16126" max="16126" width="11.7109375" style="1" hidden="1" customWidth="1"/>
    <col min="16127" max="16127" width="8.140625" style="1" hidden="1" customWidth="1"/>
    <col min="16128" max="16128" width="11" style="1" hidden="1" customWidth="1"/>
    <col min="16129" max="16131" width="2.7109375" style="1" hidden="1" customWidth="1"/>
    <col min="16132" max="16133" width="2.85546875" style="1" hidden="1" customWidth="1"/>
    <col min="16134" max="16141" width="3.42578125" style="1" hidden="1" customWidth="1"/>
    <col min="16142" max="16142" width="1.5703125" style="1" hidden="1" customWidth="1"/>
    <col min="16143" max="16143" width="0" style="1" hidden="1" customWidth="1"/>
    <col min="16144" max="16384" width="0" style="1" hidden="1"/>
  </cols>
  <sheetData>
    <row r="1" spans="1:34" ht="15.75" customHeight="1">
      <c r="A1" s="596" t="str">
        <f>CONCATENATE("Proceedings of the ",Data!I13,", ",Data!I15)</f>
        <v>Proceedings of the Mandal Educational Officer, M.P Domakonda</v>
      </c>
      <c r="B1" s="596"/>
      <c r="C1" s="596"/>
      <c r="D1" s="596"/>
      <c r="E1" s="596"/>
      <c r="F1" s="596"/>
      <c r="G1" s="596"/>
      <c r="H1" s="596"/>
      <c r="I1" s="596"/>
      <c r="J1" s="596"/>
      <c r="K1" s="596"/>
      <c r="L1" s="596"/>
      <c r="M1" s="596"/>
      <c r="N1" s="20"/>
    </row>
    <row r="2" spans="1:34" ht="12.75" customHeight="1">
      <c r="A2" s="597" t="str">
        <f>CONCATENATE("Present: ",Data!G14," ",Data!I14)</f>
        <v>Present: Sri. M.Sevla, M.A, B.Ed</v>
      </c>
      <c r="B2" s="597"/>
      <c r="C2" s="597"/>
      <c r="D2" s="597"/>
      <c r="E2" s="597"/>
      <c r="F2" s="597"/>
      <c r="G2" s="597"/>
      <c r="H2" s="597"/>
      <c r="I2" s="597"/>
      <c r="J2" s="597"/>
      <c r="K2" s="597"/>
      <c r="L2" s="597"/>
      <c r="M2" s="597"/>
      <c r="N2" s="19"/>
    </row>
    <row r="3" spans="1:34">
      <c r="A3" s="1" t="s">
        <v>0</v>
      </c>
      <c r="B3" s="594"/>
      <c r="C3" s="594"/>
      <c r="D3" s="594"/>
      <c r="E3" s="594"/>
      <c r="F3" s="594"/>
      <c r="G3" s="594"/>
      <c r="H3" s="594"/>
      <c r="J3" s="249" t="s">
        <v>1</v>
      </c>
      <c r="K3" s="573"/>
      <c r="L3" s="573"/>
      <c r="M3" s="573"/>
    </row>
    <row r="4" spans="1:34" ht="3" customHeight="1"/>
    <row r="5" spans="1:34" ht="20.25" customHeight="1">
      <c r="B5" s="21" t="s">
        <v>2</v>
      </c>
      <c r="C5" s="598" t="str">
        <f>CONCATENATE("Revision of Pay Scales, 2021 – Fixation of ",Data!G4," ",Data!I4,", ",Data!I6,", ",Data!I7," ",Data!I8," in Revised Pay Scales, 2020 - Orders - Issued.")</f>
        <v>Revision of Pay Scales, 2021 – Fixation of Sri. Putta Srinivas Reddy, Secondary Grade Teacher, MPPS SRM Domakonda in Revised Pay Scales, 2020 - Orders - Issued.</v>
      </c>
      <c r="D5" s="598"/>
      <c r="E5" s="598"/>
      <c r="F5" s="598"/>
      <c r="G5" s="598"/>
      <c r="H5" s="598"/>
      <c r="I5" s="598"/>
      <c r="J5" s="598"/>
      <c r="K5" s="598"/>
      <c r="L5" s="598"/>
      <c r="M5" s="598"/>
      <c r="N5" s="22"/>
    </row>
    <row r="6" spans="1:34" ht="20.25" customHeight="1">
      <c r="A6" s="1" t="s">
        <v>3</v>
      </c>
      <c r="C6" s="598"/>
      <c r="D6" s="598"/>
      <c r="E6" s="598"/>
      <c r="F6" s="598"/>
      <c r="G6" s="598"/>
      <c r="H6" s="598"/>
      <c r="I6" s="598"/>
      <c r="J6" s="598"/>
      <c r="K6" s="598"/>
      <c r="L6" s="598"/>
      <c r="M6" s="598"/>
      <c r="N6" s="22"/>
      <c r="Q6" s="2"/>
      <c r="R6" s="2"/>
      <c r="S6" s="2"/>
      <c r="T6" s="2"/>
      <c r="U6" s="2"/>
      <c r="V6" s="2"/>
      <c r="W6" s="2"/>
      <c r="X6" s="2"/>
      <c r="Y6" s="2"/>
      <c r="Z6" s="2"/>
      <c r="AA6" s="2"/>
      <c r="AB6" s="2"/>
      <c r="AC6" s="2"/>
      <c r="AD6" s="2"/>
      <c r="AE6" s="2"/>
      <c r="AF6" s="2"/>
      <c r="AG6" s="2"/>
      <c r="AH6" s="2"/>
    </row>
    <row r="7" spans="1:34" ht="11.25" customHeight="1">
      <c r="B7" s="1" t="s">
        <v>4</v>
      </c>
      <c r="C7" s="1" t="s">
        <v>457</v>
      </c>
      <c r="D7" s="23"/>
      <c r="E7" s="23"/>
      <c r="F7" s="23"/>
      <c r="G7" s="23"/>
      <c r="H7" s="23"/>
      <c r="I7" s="23"/>
      <c r="J7" s="23"/>
      <c r="K7" s="23"/>
      <c r="Q7" s="2"/>
      <c r="R7" s="2"/>
      <c r="S7" s="2"/>
      <c r="T7" s="2"/>
      <c r="U7" s="2"/>
      <c r="V7" s="2"/>
      <c r="W7" s="2"/>
      <c r="X7" s="2"/>
      <c r="Y7" s="2"/>
      <c r="Z7" s="2"/>
      <c r="AA7" s="2"/>
      <c r="AB7" s="2"/>
      <c r="AC7" s="2"/>
      <c r="AD7" s="2"/>
      <c r="AE7" s="2"/>
      <c r="AF7" s="2"/>
      <c r="AG7" s="2"/>
      <c r="AH7" s="2"/>
    </row>
    <row r="8" spans="1:34" ht="11.25" customHeight="1">
      <c r="C8" s="1" t="s">
        <v>458</v>
      </c>
      <c r="D8" s="23"/>
      <c r="E8" s="23"/>
      <c r="F8" s="23"/>
      <c r="G8" s="23"/>
      <c r="H8" s="23"/>
      <c r="I8" s="23"/>
      <c r="J8" s="23"/>
      <c r="K8" s="23"/>
    </row>
    <row r="9" spans="1:34" ht="11.25" customHeight="1">
      <c r="C9" s="1" t="s">
        <v>459</v>
      </c>
      <c r="D9" s="23"/>
      <c r="E9" s="23"/>
      <c r="F9" s="23"/>
      <c r="G9" s="23"/>
      <c r="H9" s="23"/>
      <c r="I9" s="23"/>
      <c r="J9" s="23"/>
      <c r="K9" s="23"/>
    </row>
    <row r="10" spans="1:34" ht="11.25" customHeight="1">
      <c r="C10" s="1" t="s">
        <v>460</v>
      </c>
      <c r="D10" s="23"/>
      <c r="E10" s="23"/>
      <c r="F10" s="23"/>
      <c r="G10" s="23"/>
      <c r="H10" s="23"/>
      <c r="I10" s="23"/>
      <c r="J10" s="23"/>
      <c r="K10" s="23"/>
    </row>
    <row r="11" spans="1:34" ht="11.25" customHeight="1">
      <c r="C11" s="1" t="s">
        <v>323</v>
      </c>
      <c r="D11" s="23"/>
      <c r="E11" s="23"/>
      <c r="F11" s="23"/>
      <c r="G11" s="23"/>
      <c r="H11" s="23"/>
      <c r="I11" s="23"/>
      <c r="J11" s="23"/>
      <c r="K11" s="23"/>
    </row>
    <row r="12" spans="1:34" ht="11.25" customHeight="1">
      <c r="C12" s="1" t="s">
        <v>324</v>
      </c>
      <c r="D12" s="23"/>
      <c r="E12" s="23"/>
      <c r="F12" s="23"/>
      <c r="G12" s="23"/>
      <c r="H12" s="23"/>
      <c r="I12" s="23"/>
      <c r="J12" s="23"/>
      <c r="K12" s="23"/>
    </row>
    <row r="13" spans="1:34" ht="11.25" customHeight="1">
      <c r="C13" s="12" t="s">
        <v>5</v>
      </c>
      <c r="I13" s="599"/>
      <c r="J13" s="599"/>
      <c r="K13" s="599"/>
    </row>
    <row r="14" spans="1:34">
      <c r="A14" s="1" t="s">
        <v>6</v>
      </c>
    </row>
    <row r="15" spans="1:34" ht="47.25" customHeight="1">
      <c r="A15" s="576" t="s">
        <v>467</v>
      </c>
      <c r="B15" s="576"/>
      <c r="C15" s="576"/>
      <c r="D15" s="576"/>
      <c r="E15" s="576"/>
      <c r="F15" s="576"/>
      <c r="G15" s="576"/>
      <c r="H15" s="576"/>
      <c r="I15" s="576"/>
      <c r="J15" s="576"/>
      <c r="K15" s="576"/>
      <c r="L15" s="576"/>
      <c r="M15" s="576"/>
      <c r="N15" s="22"/>
      <c r="O15" s="3"/>
      <c r="P15" s="3"/>
      <c r="Q15" s="3"/>
    </row>
    <row r="16" spans="1:34" ht="62.25" customHeight="1">
      <c r="A16" s="576" t="str">
        <f>CONCATENATE("        In this connection to ",Data!G4,Data!H4," ",Data!I4," holding the post of ",Data!I5," as on option date in the scale of Rs. ",Data!G41,", the inmcumbent has exercised the option to come under the R.P.S, 2020 w.e.f ",Data!AP199," which is ",Data!AM114," option date as per the reference cited above.")</f>
        <v xml:space="preserve">        In this connection to Sri. Putta Srinivas Reddy holding the post of Secondary Grade Teacher as on option date in the scale of Rs. 29760 - 80930, the inmcumbent has exercised the option to come under the R.P.S, 2020 w.e.f 01.07.2018 which is his option date as per the reference cited above.</v>
      </c>
      <c r="B16" s="576"/>
      <c r="C16" s="576"/>
      <c r="D16" s="576"/>
      <c r="E16" s="576"/>
      <c r="F16" s="576"/>
      <c r="G16" s="576"/>
      <c r="H16" s="576"/>
      <c r="I16" s="576"/>
      <c r="J16" s="576"/>
      <c r="K16" s="576"/>
      <c r="L16" s="576"/>
      <c r="M16" s="576"/>
      <c r="N16" s="22"/>
      <c r="O16" s="3"/>
      <c r="P16" s="3"/>
      <c r="Q16" s="3"/>
    </row>
    <row r="17" spans="1:17" ht="27.75" customHeight="1">
      <c r="A17" s="576" t="str">
        <f>CONCATENATE("        Existing HRA rate is ",Data!AX214,"%, accordingle now the revised HRA rate is ",Data!BB214,"% as per reference 3rd cited above as on option date, Concequently any changes in the during period HRA rates of arrears will be implemented.")</f>
        <v xml:space="preserve">        Existing HRA rate is 30%, accordingle now the revised HRA rate is 24% as per reference 3rd cited above as on option date, Concequently any changes in the during period HRA rates of arrears will be implemented.</v>
      </c>
      <c r="B17" s="576"/>
      <c r="C17" s="576"/>
      <c r="D17" s="576"/>
      <c r="E17" s="576"/>
      <c r="F17" s="576"/>
      <c r="G17" s="576"/>
      <c r="H17" s="576"/>
      <c r="I17" s="576"/>
      <c r="J17" s="576"/>
      <c r="K17" s="576"/>
      <c r="L17" s="576"/>
      <c r="M17" s="576"/>
      <c r="N17" s="293"/>
      <c r="O17" s="3"/>
      <c r="P17" s="3"/>
      <c r="Q17" s="3"/>
    </row>
    <row r="18" spans="1:17" ht="18" customHeight="1">
      <c r="B18" s="24" t="str">
        <f>CONCATENATE("Pay is fixed in the R.P.S, 2020 on ",Data!AP199," as follows")</f>
        <v>Pay is fixed in the R.P.S, 2020 on 01.07.2018 as follows</v>
      </c>
      <c r="C18" s="12"/>
      <c r="D18" s="12"/>
      <c r="E18" s="12"/>
      <c r="F18" s="12"/>
      <c r="H18" s="24"/>
      <c r="I18" s="24"/>
      <c r="J18" s="24"/>
      <c r="K18" s="24"/>
      <c r="L18" s="24"/>
      <c r="M18" s="24"/>
      <c r="N18" s="12"/>
    </row>
    <row r="19" spans="1:17" ht="36" customHeight="1">
      <c r="B19" s="578" t="str">
        <f>Appendix!M41</f>
        <v>54220-1500-57220-1630-62110-1730-67300-1850-72850-1990-78820-2140-85240-2270-92050-2420-99310-2560-106990-2760-115270-2960-124150-3160-133630 (35)</v>
      </c>
      <c r="C19" s="578"/>
      <c r="D19" s="578"/>
      <c r="E19" s="578"/>
      <c r="F19" s="578"/>
      <c r="G19" s="578"/>
      <c r="H19" s="578"/>
      <c r="I19" s="578"/>
      <c r="J19" s="578"/>
      <c r="K19" s="578"/>
      <c r="L19" s="578"/>
      <c r="M19" s="578"/>
      <c r="N19" s="228"/>
    </row>
    <row r="20" spans="1:17" ht="13.5" customHeight="1">
      <c r="B20" s="3"/>
      <c r="C20" s="3"/>
      <c r="D20" s="577" t="s">
        <v>7</v>
      </c>
      <c r="E20" s="577"/>
      <c r="F20" s="577"/>
      <c r="G20" s="577"/>
      <c r="H20" s="577"/>
      <c r="I20" s="252">
        <f>Appendix!M27</f>
        <v>34170</v>
      </c>
      <c r="J20" s="250"/>
      <c r="K20" s="22"/>
      <c r="L20" s="22"/>
      <c r="M20" s="22"/>
      <c r="N20" s="22"/>
    </row>
    <row r="21" spans="1:17" ht="12" customHeight="1">
      <c r="B21" s="3"/>
      <c r="C21" s="3"/>
      <c r="D21" s="575" t="s">
        <v>321</v>
      </c>
      <c r="E21" s="575"/>
      <c r="F21" s="575"/>
      <c r="G21" s="575"/>
      <c r="H21" s="575"/>
      <c r="I21" s="253">
        <f>Appendix!M33</f>
        <v>10384.946399999999</v>
      </c>
      <c r="J21" s="251"/>
      <c r="K21" s="22"/>
      <c r="L21" s="22"/>
      <c r="M21" s="22"/>
      <c r="N21" s="22"/>
    </row>
    <row r="22" spans="1:17" ht="12" customHeight="1">
      <c r="B22" s="3"/>
      <c r="C22" s="3"/>
      <c r="D22" s="575" t="s">
        <v>447</v>
      </c>
      <c r="E22" s="575"/>
      <c r="F22" s="575"/>
      <c r="G22" s="575"/>
      <c r="H22" s="575"/>
      <c r="I22" s="253">
        <f>Appendix!M36</f>
        <v>10251</v>
      </c>
      <c r="J22" s="251"/>
      <c r="K22" s="22"/>
      <c r="L22" s="22"/>
      <c r="M22" s="22"/>
      <c r="N22" s="22"/>
    </row>
    <row r="23" spans="1:17" ht="12" customHeight="1">
      <c r="B23" s="3"/>
      <c r="C23" s="3"/>
      <c r="D23" s="575" t="s">
        <v>8</v>
      </c>
      <c r="E23" s="575"/>
      <c r="F23" s="575"/>
      <c r="G23" s="575"/>
      <c r="H23" s="575"/>
      <c r="I23" s="253">
        <f>SUM(I20:J22)</f>
        <v>54805.946400000001</v>
      </c>
      <c r="J23" s="251"/>
      <c r="K23" s="22"/>
      <c r="L23" s="22"/>
      <c r="M23" s="22"/>
      <c r="N23" s="22"/>
    </row>
    <row r="24" spans="1:17" ht="14.25" customHeight="1">
      <c r="B24" s="3"/>
      <c r="C24" s="3"/>
      <c r="D24" s="577" t="s">
        <v>463</v>
      </c>
      <c r="E24" s="577"/>
      <c r="F24" s="577"/>
      <c r="G24" s="577"/>
      <c r="H24" s="577"/>
      <c r="I24" s="252">
        <f>Appendix!M44</f>
        <v>55720</v>
      </c>
      <c r="J24" s="250"/>
      <c r="K24" s="22"/>
      <c r="L24" s="22"/>
      <c r="M24" s="22"/>
      <c r="N24" s="22"/>
    </row>
    <row r="25" spans="1:17" ht="4.5" customHeight="1">
      <c r="B25" s="12"/>
      <c r="C25" s="12"/>
      <c r="D25" s="12"/>
      <c r="E25" s="12"/>
      <c r="F25" s="12"/>
      <c r="G25" s="12"/>
      <c r="H25" s="12"/>
      <c r="I25" s="12"/>
      <c r="J25" s="12"/>
      <c r="K25" s="12"/>
      <c r="L25" s="12"/>
      <c r="M25" s="12"/>
      <c r="N25" s="12"/>
    </row>
    <row r="26" spans="1:17" s="4" customFormat="1" ht="48" customHeight="1">
      <c r="A26" s="579" t="s">
        <v>9</v>
      </c>
      <c r="B26" s="580"/>
      <c r="C26" s="580"/>
      <c r="D26" s="580"/>
      <c r="E26" s="581"/>
      <c r="F26" s="247" t="s">
        <v>11</v>
      </c>
      <c r="G26" s="25" t="s">
        <v>450</v>
      </c>
      <c r="H26" s="25" t="s">
        <v>446</v>
      </c>
      <c r="I26" s="25" t="s">
        <v>485</v>
      </c>
      <c r="J26" s="229" t="s">
        <v>487</v>
      </c>
      <c r="K26" s="565" t="s">
        <v>451</v>
      </c>
      <c r="L26" s="565"/>
      <c r="M26" s="565"/>
    </row>
    <row r="27" spans="1:17" s="5" customFormat="1" ht="12.75" customHeight="1">
      <c r="A27" s="582">
        <v>1</v>
      </c>
      <c r="B27" s="583"/>
      <c r="C27" s="583"/>
      <c r="D27" s="583"/>
      <c r="E27" s="584"/>
      <c r="F27" s="230">
        <v>2</v>
      </c>
      <c r="G27" s="231">
        <v>3</v>
      </c>
      <c r="H27" s="231">
        <v>4</v>
      </c>
      <c r="I27" s="231">
        <v>5</v>
      </c>
      <c r="J27" s="230">
        <v>6</v>
      </c>
      <c r="K27" s="566">
        <v>7</v>
      </c>
      <c r="L27" s="566"/>
      <c r="M27" s="566"/>
    </row>
    <row r="28" spans="1:17" s="248" customFormat="1" ht="12.75" customHeight="1">
      <c r="A28" s="588" t="str">
        <f>Data!I4</f>
        <v>Putta Srinivas Reddy</v>
      </c>
      <c r="B28" s="589"/>
      <c r="C28" s="589"/>
      <c r="D28" s="589"/>
      <c r="E28" s="590"/>
      <c r="F28" s="309">
        <f>IF(Data!AF205=1,"-",Data!AU205)</f>
        <v>43374</v>
      </c>
      <c r="G28" s="310" t="str">
        <f>IF(Data!AF205=1,"-",Data!K44)</f>
        <v>29760 - 80930</v>
      </c>
      <c r="H28" s="311">
        <f>IF(Data!AF205=1,"-",Data!AT205)</f>
        <v>35120</v>
      </c>
      <c r="I28" s="310" t="str">
        <f>IF(Data!AF205=1,"-",Data!P44)</f>
        <v>54220 - 133630</v>
      </c>
      <c r="J28" s="312">
        <f>IF(Data!AF205=1,"-",Data!S44)</f>
        <v>57220</v>
      </c>
      <c r="K28" s="574" t="str">
        <f>IF(Data!AF205=1,"-",Data!BD205)</f>
        <v>Increment</v>
      </c>
      <c r="L28" s="574"/>
      <c r="M28" s="574"/>
    </row>
    <row r="29" spans="1:17" s="248" customFormat="1" ht="12.75" customHeight="1">
      <c r="A29" s="588"/>
      <c r="B29" s="589"/>
      <c r="C29" s="589"/>
      <c r="D29" s="589"/>
      <c r="E29" s="590"/>
      <c r="F29" s="309">
        <f>IF(Data!AF206=1,"-",Data!AU206)</f>
        <v>43739</v>
      </c>
      <c r="G29" s="310" t="str">
        <f>IF(Data!AF206=1,"-",Data!K45)</f>
        <v>29760 - 80930</v>
      </c>
      <c r="H29" s="311">
        <f>IF(Data!AF206=1,"-",Data!AT206)</f>
        <v>36070</v>
      </c>
      <c r="I29" s="310" t="str">
        <f>IF(Data!AF206=1,"-",Data!P45)</f>
        <v>54220 - 133630</v>
      </c>
      <c r="J29" s="312">
        <f>IF(Data!AF206=1,"-",Data!S45)</f>
        <v>58850</v>
      </c>
      <c r="K29" s="574" t="str">
        <f>IF(Data!AF206=1,"-",Data!BD206)</f>
        <v>Increment</v>
      </c>
      <c r="L29" s="574"/>
      <c r="M29" s="574"/>
    </row>
    <row r="30" spans="1:17" s="248" customFormat="1" ht="12.75" customHeight="1">
      <c r="A30" s="588"/>
      <c r="B30" s="589"/>
      <c r="C30" s="589"/>
      <c r="D30" s="589"/>
      <c r="E30" s="590"/>
      <c r="F30" s="309">
        <f>IF(Data!AF207=1,"-",Data!AU207)</f>
        <v>44105</v>
      </c>
      <c r="G30" s="310" t="str">
        <f>IF(Data!AF207=1,"-",Data!K46)</f>
        <v>29760 - 80930</v>
      </c>
      <c r="H30" s="311">
        <f>IF(Data!AF207=1,"-",Data!AT207)</f>
        <v>37100</v>
      </c>
      <c r="I30" s="310" t="str">
        <f>IF(Data!AF207=1,"-",Data!P46)</f>
        <v>54220 - 133630</v>
      </c>
      <c r="J30" s="312">
        <f>IF(Data!AF207=1,"-",Data!S46)</f>
        <v>60480</v>
      </c>
      <c r="K30" s="574" t="str">
        <f>IF(Data!AF207=1,"-",Data!BD207)</f>
        <v>Increment</v>
      </c>
      <c r="L30" s="574"/>
      <c r="M30" s="574"/>
    </row>
    <row r="31" spans="1:17" s="248" customFormat="1" ht="12.75" customHeight="1">
      <c r="A31" s="588"/>
      <c r="B31" s="589"/>
      <c r="C31" s="589"/>
      <c r="D31" s="589"/>
      <c r="E31" s="590"/>
      <c r="F31" s="309">
        <f>IF(Data!AF208=1,"-",Data!AU208)</f>
        <v>44121</v>
      </c>
      <c r="G31" s="310" t="str">
        <f>IF(Data!AF208=1,"-",Data!K47)</f>
        <v>29760 - 80930</v>
      </c>
      <c r="H31" s="311">
        <f>IF(Data!AF208=1,"-",Data!AT208)</f>
        <v>38130</v>
      </c>
      <c r="I31" s="310" t="str">
        <f>IF(Data!AF208=1,"-",Data!P47)</f>
        <v>54220 - 133630</v>
      </c>
      <c r="J31" s="312">
        <f>IF(Data!AF208=1,"-",Data!S47)</f>
        <v>62110</v>
      </c>
      <c r="K31" s="574" t="str">
        <f>IF(Data!AF208=1,"-",Data!BD208)</f>
        <v>AAS 18yrs SPP-IB</v>
      </c>
      <c r="L31" s="574"/>
      <c r="M31" s="574"/>
    </row>
    <row r="32" spans="1:17" s="248" customFormat="1" ht="12.75" customHeight="1">
      <c r="A32" s="588"/>
      <c r="B32" s="589"/>
      <c r="C32" s="589"/>
      <c r="D32" s="589"/>
      <c r="E32" s="590"/>
      <c r="F32" s="309" t="str">
        <f>IF(Data!AF209=1,"-",Data!AU209)</f>
        <v>-</v>
      </c>
      <c r="G32" s="310" t="str">
        <f>IF(Data!AF209=1,"-",Data!K48)</f>
        <v>-</v>
      </c>
      <c r="H32" s="311" t="str">
        <f>IF(Data!AF209=1,"-",Data!AT209)</f>
        <v>-</v>
      </c>
      <c r="I32" s="310" t="str">
        <f>IF(Data!AF209=1,"-",Data!P48)</f>
        <v>-</v>
      </c>
      <c r="J32" s="312" t="str">
        <f>IF(Data!AF209=1,"-",Data!S48)</f>
        <v>-</v>
      </c>
      <c r="K32" s="574" t="str">
        <f>IF(Data!AF209=1,"-",Data!BD209)</f>
        <v>-</v>
      </c>
      <c r="L32" s="574"/>
      <c r="M32" s="574"/>
    </row>
    <row r="33" spans="1:14" ht="12.75" customHeight="1">
      <c r="A33" s="591"/>
      <c r="B33" s="592"/>
      <c r="C33" s="592"/>
      <c r="D33" s="592"/>
      <c r="E33" s="593"/>
      <c r="F33" s="570" t="s">
        <v>12</v>
      </c>
      <c r="G33" s="571"/>
      <c r="H33" s="571"/>
      <c r="I33" s="571"/>
      <c r="J33" s="572"/>
      <c r="K33" s="567" t="str">
        <f>CONCATENATE(Data!G50,".",Data!H50,".",Data!I50)</f>
        <v>1.10.2021</v>
      </c>
      <c r="L33" s="568"/>
      <c r="M33" s="569"/>
    </row>
    <row r="34" spans="1:14" ht="2.25" customHeight="1">
      <c r="A34" s="26"/>
      <c r="B34" s="26"/>
      <c r="C34" s="26"/>
      <c r="D34" s="26"/>
      <c r="E34" s="26"/>
      <c r="F34" s="26"/>
      <c r="G34" s="26"/>
      <c r="H34" s="26"/>
    </row>
    <row r="35" spans="1:14" ht="60" customHeight="1">
      <c r="A35" s="576" t="s">
        <v>464</v>
      </c>
      <c r="B35" s="576"/>
      <c r="C35" s="576"/>
      <c r="D35" s="576"/>
      <c r="E35" s="576"/>
      <c r="F35" s="576"/>
      <c r="G35" s="576"/>
      <c r="H35" s="576"/>
      <c r="I35" s="576"/>
      <c r="J35" s="576"/>
      <c r="K35" s="576"/>
      <c r="L35" s="576"/>
      <c r="M35" s="576"/>
      <c r="N35" s="22"/>
    </row>
    <row r="36" spans="1:14" ht="48" customHeight="1">
      <c r="A36" s="576" t="s">
        <v>13</v>
      </c>
      <c r="B36" s="576"/>
      <c r="C36" s="576"/>
      <c r="D36" s="576"/>
      <c r="E36" s="576"/>
      <c r="F36" s="576"/>
      <c r="G36" s="576"/>
      <c r="H36" s="576"/>
      <c r="I36" s="576"/>
      <c r="J36" s="576"/>
      <c r="K36" s="576"/>
      <c r="L36" s="576"/>
      <c r="M36" s="576"/>
      <c r="N36" s="22"/>
    </row>
    <row r="37" spans="1:14" ht="19.5" customHeight="1">
      <c r="A37" s="576" t="s">
        <v>14</v>
      </c>
      <c r="B37" s="576"/>
      <c r="C37" s="576"/>
      <c r="D37" s="576"/>
      <c r="E37" s="576"/>
      <c r="F37" s="576"/>
      <c r="G37" s="576"/>
      <c r="H37" s="576"/>
      <c r="I37" s="576"/>
      <c r="J37" s="576"/>
      <c r="K37" s="576"/>
      <c r="L37" s="576"/>
      <c r="M37" s="576"/>
      <c r="N37" s="22"/>
    </row>
    <row r="38" spans="1:14" ht="24.75" customHeight="1">
      <c r="A38" s="26"/>
      <c r="B38" s="26"/>
      <c r="C38" s="26"/>
      <c r="D38" s="26"/>
      <c r="E38" s="26"/>
      <c r="F38" s="26"/>
      <c r="G38" s="26"/>
      <c r="H38" s="26"/>
    </row>
    <row r="39" spans="1:14" ht="12" customHeight="1">
      <c r="I39" s="595" t="str">
        <f>Data!I13</f>
        <v>Mandal Educational Officer</v>
      </c>
      <c r="J39" s="595"/>
      <c r="K39" s="595"/>
      <c r="L39" s="595"/>
      <c r="M39" s="595"/>
      <c r="N39" s="595"/>
    </row>
    <row r="40" spans="1:14" ht="12" customHeight="1">
      <c r="A40" s="1" t="s">
        <v>15</v>
      </c>
      <c r="I40" s="595" t="str">
        <f>Data!I15</f>
        <v>M.P Domakonda</v>
      </c>
      <c r="J40" s="595"/>
      <c r="K40" s="595"/>
      <c r="L40" s="595"/>
      <c r="M40" s="595"/>
      <c r="N40" s="595"/>
    </row>
    <row r="41" spans="1:14">
      <c r="A41" s="594" t="s">
        <v>16</v>
      </c>
      <c r="B41" s="594"/>
      <c r="C41" s="594"/>
      <c r="D41" s="594"/>
      <c r="E41" s="594"/>
      <c r="F41" s="594"/>
      <c r="G41" s="594"/>
      <c r="H41" s="594"/>
      <c r="I41" s="594"/>
      <c r="J41" s="594"/>
      <c r="K41" s="594"/>
    </row>
    <row r="42" spans="1:14">
      <c r="A42" s="594" t="s">
        <v>17</v>
      </c>
      <c r="B42" s="594"/>
      <c r="C42" s="594"/>
      <c r="D42" s="594"/>
      <c r="E42" s="594"/>
      <c r="F42" s="594"/>
      <c r="G42" s="594"/>
      <c r="H42" s="594"/>
      <c r="I42" s="594"/>
      <c r="J42" s="594"/>
      <c r="K42" s="594"/>
    </row>
    <row r="43" spans="1:14" ht="8.25" customHeight="1" thickBot="1">
      <c r="A43" s="1" t="s">
        <v>489</v>
      </c>
    </row>
    <row r="44" spans="1:14" ht="15" customHeight="1" thickBot="1">
      <c r="A44" s="585" t="s">
        <v>488</v>
      </c>
      <c r="B44" s="586"/>
      <c r="C44" s="586"/>
      <c r="D44" s="586"/>
      <c r="E44" s="586"/>
      <c r="F44" s="586"/>
      <c r="G44" s="586"/>
      <c r="H44" s="586"/>
      <c r="I44" s="586"/>
      <c r="J44" s="586"/>
      <c r="K44" s="586"/>
      <c r="L44" s="586"/>
      <c r="M44" s="587"/>
    </row>
    <row r="45" spans="1:14" hidden="1"/>
    <row r="46" spans="1:14" hidden="1"/>
    <row r="47" spans="1:14" hidden="1"/>
    <row r="48" spans="1:14" hidden="1"/>
    <row r="49" hidden="1"/>
    <row r="50"/>
    <row r="51"/>
    <row r="52"/>
  </sheetData>
  <sheetProtection password="D8E3" sheet="1" objects="1" scenarios="1"/>
  <customSheetViews>
    <customSheetView guid="{F60E2261-838F-4117-A98D-7C5CFDCC0021}" showGridLines="0" showRowCol="0" hiddenRows="1" hiddenColumns="1">
      <selection activeCell="B3" sqref="B3:H3"/>
      <pageMargins left="0.59055118110236227" right="0.39370078740157483" top="0.59055118110236227" bottom="0.39370078740157483" header="0.31496062992125984" footer="0.31496062992125984"/>
      <pageSetup paperSize="9" scale="95" orientation="portrait" r:id="rId1"/>
    </customSheetView>
    <customSheetView guid="{5633FAF7-B486-4D0B-84AB-497A2BE1B953}" showGridLines="0" showRowCol="0" hiddenRows="1" hiddenColumns="1">
      <selection activeCell="B3" sqref="B3:H3"/>
      <pageMargins left="0.59055118110236227" right="0.39370078740157483" top="0.59055118110236227" bottom="0.39370078740157483" header="0.31496062992125984" footer="0.31496062992125984"/>
      <pageSetup paperSize="9" scale="95" orientation="portrait" r:id="rId2"/>
    </customSheetView>
  </customSheetViews>
  <mergeCells count="35">
    <mergeCell ref="D24:H24"/>
    <mergeCell ref="A1:M1"/>
    <mergeCell ref="A2:M2"/>
    <mergeCell ref="B3:H3"/>
    <mergeCell ref="C5:M6"/>
    <mergeCell ref="I13:K13"/>
    <mergeCell ref="A17:M17"/>
    <mergeCell ref="A44:M44"/>
    <mergeCell ref="A28:E33"/>
    <mergeCell ref="K30:M30"/>
    <mergeCell ref="K32:M32"/>
    <mergeCell ref="K31:M31"/>
    <mergeCell ref="A42:K42"/>
    <mergeCell ref="A35:M35"/>
    <mergeCell ref="A36:M36"/>
    <mergeCell ref="A37:M37"/>
    <mergeCell ref="I39:N39"/>
    <mergeCell ref="I40:N40"/>
    <mergeCell ref="A41:K41"/>
    <mergeCell ref="K26:M26"/>
    <mergeCell ref="K27:M27"/>
    <mergeCell ref="K33:M33"/>
    <mergeCell ref="F33:J33"/>
    <mergeCell ref="K3:M3"/>
    <mergeCell ref="K28:M28"/>
    <mergeCell ref="K29:M29"/>
    <mergeCell ref="D21:H21"/>
    <mergeCell ref="A15:M15"/>
    <mergeCell ref="A16:M16"/>
    <mergeCell ref="D20:H20"/>
    <mergeCell ref="B19:M19"/>
    <mergeCell ref="A26:E26"/>
    <mergeCell ref="A27:E27"/>
    <mergeCell ref="D22:H22"/>
    <mergeCell ref="D23:H23"/>
  </mergeCells>
  <pageMargins left="0.59055118110236227" right="0.39370078740157483" top="0.59055118110236227" bottom="0.39370078740157483" header="0.31496062992125984" footer="0.31496062992125984"/>
  <pageSetup paperSize="9" scale="95" orientation="portrait" r:id="rId3"/>
</worksheet>
</file>

<file path=xl/worksheets/sheet3.xml><?xml version="1.0" encoding="utf-8"?>
<worksheet xmlns="http://schemas.openxmlformats.org/spreadsheetml/2006/main" xmlns:r="http://schemas.openxmlformats.org/officeDocument/2006/relationships">
  <sheetPr codeName="Sheet3">
    <tabColor rgb="FF0070C0"/>
  </sheetPr>
  <dimension ref="B1:WWF43"/>
  <sheetViews>
    <sheetView showGridLines="0" showRowColHeaders="0" workbookViewId="0">
      <selection activeCell="B7" sqref="B7"/>
    </sheetView>
  </sheetViews>
  <sheetFormatPr defaultColWidth="0" defaultRowHeight="27" customHeight="1" zeroHeight="1"/>
  <cols>
    <col min="1" max="1" width="1.28515625" style="7" customWidth="1"/>
    <col min="2" max="23" width="3.85546875" style="7" customWidth="1"/>
    <col min="24" max="24" width="1" style="7" customWidth="1"/>
    <col min="25" max="26" width="4.140625" style="7" hidden="1" customWidth="1"/>
    <col min="27" max="27" width="10.42578125" style="7" hidden="1" customWidth="1"/>
    <col min="28" max="257" width="0" style="7" hidden="1"/>
    <col min="258" max="259" width="4.140625" style="7" hidden="1" customWidth="1"/>
    <col min="260" max="260" width="4.28515625" style="7" hidden="1" customWidth="1"/>
    <col min="261" max="280" width="4.140625" style="7" hidden="1" customWidth="1"/>
    <col min="281" max="283" width="0" style="7" hidden="1" customWidth="1"/>
    <col min="284" max="513" width="0" style="7" hidden="1"/>
    <col min="514" max="515" width="4.140625" style="7" hidden="1" customWidth="1"/>
    <col min="516" max="516" width="4.28515625" style="7" hidden="1" customWidth="1"/>
    <col min="517" max="536" width="4.140625" style="7" hidden="1" customWidth="1"/>
    <col min="537" max="539" width="0" style="7" hidden="1" customWidth="1"/>
    <col min="540" max="769" width="0" style="7" hidden="1"/>
    <col min="770" max="771" width="4.140625" style="7" hidden="1" customWidth="1"/>
    <col min="772" max="772" width="4.28515625" style="7" hidden="1" customWidth="1"/>
    <col min="773" max="792" width="4.140625" style="7" hidden="1" customWidth="1"/>
    <col min="793" max="795" width="0" style="7" hidden="1" customWidth="1"/>
    <col min="796" max="1025" width="0" style="7" hidden="1"/>
    <col min="1026" max="1027" width="4.140625" style="7" hidden="1" customWidth="1"/>
    <col min="1028" max="1028" width="4.28515625" style="7" hidden="1" customWidth="1"/>
    <col min="1029" max="1048" width="4.140625" style="7" hidden="1" customWidth="1"/>
    <col min="1049" max="1051" width="0" style="7" hidden="1" customWidth="1"/>
    <col min="1052" max="1281" width="0" style="7" hidden="1"/>
    <col min="1282" max="1283" width="4.140625" style="7" hidden="1" customWidth="1"/>
    <col min="1284" max="1284" width="4.28515625" style="7" hidden="1" customWidth="1"/>
    <col min="1285" max="1304" width="4.140625" style="7" hidden="1" customWidth="1"/>
    <col min="1305" max="1307" width="0" style="7" hidden="1" customWidth="1"/>
    <col min="1308" max="1537" width="0" style="7" hidden="1"/>
    <col min="1538" max="1539" width="4.140625" style="7" hidden="1" customWidth="1"/>
    <col min="1540" max="1540" width="4.28515625" style="7" hidden="1" customWidth="1"/>
    <col min="1541" max="1560" width="4.140625" style="7" hidden="1" customWidth="1"/>
    <col min="1561" max="1563" width="0" style="7" hidden="1" customWidth="1"/>
    <col min="1564" max="1793" width="0" style="7" hidden="1"/>
    <col min="1794" max="1795" width="4.140625" style="7" hidden="1" customWidth="1"/>
    <col min="1796" max="1796" width="4.28515625" style="7" hidden="1" customWidth="1"/>
    <col min="1797" max="1816" width="4.140625" style="7" hidden="1" customWidth="1"/>
    <col min="1817" max="1819" width="0" style="7" hidden="1" customWidth="1"/>
    <col min="1820" max="2049" width="0" style="7" hidden="1"/>
    <col min="2050" max="2051" width="4.140625" style="7" hidden="1" customWidth="1"/>
    <col min="2052" max="2052" width="4.28515625" style="7" hidden="1" customWidth="1"/>
    <col min="2053" max="2072" width="4.140625" style="7" hidden="1" customWidth="1"/>
    <col min="2073" max="2075" width="0" style="7" hidden="1" customWidth="1"/>
    <col min="2076" max="2305" width="0" style="7" hidden="1"/>
    <col min="2306" max="2307" width="4.140625" style="7" hidden="1" customWidth="1"/>
    <col min="2308" max="2308" width="4.28515625" style="7" hidden="1" customWidth="1"/>
    <col min="2309" max="2328" width="4.140625" style="7" hidden="1" customWidth="1"/>
    <col min="2329" max="2331" width="0" style="7" hidden="1" customWidth="1"/>
    <col min="2332" max="2561" width="0" style="7" hidden="1"/>
    <col min="2562" max="2563" width="4.140625" style="7" hidden="1" customWidth="1"/>
    <col min="2564" max="2564" width="4.28515625" style="7" hidden="1" customWidth="1"/>
    <col min="2565" max="2584" width="4.140625" style="7" hidden="1" customWidth="1"/>
    <col min="2585" max="2587" width="0" style="7" hidden="1" customWidth="1"/>
    <col min="2588" max="2817" width="0" style="7" hidden="1"/>
    <col min="2818" max="2819" width="4.140625" style="7" hidden="1" customWidth="1"/>
    <col min="2820" max="2820" width="4.28515625" style="7" hidden="1" customWidth="1"/>
    <col min="2821" max="2840" width="4.140625" style="7" hidden="1" customWidth="1"/>
    <col min="2841" max="2843" width="0" style="7" hidden="1" customWidth="1"/>
    <col min="2844" max="3073" width="0" style="7" hidden="1"/>
    <col min="3074" max="3075" width="4.140625" style="7" hidden="1" customWidth="1"/>
    <col min="3076" max="3076" width="4.28515625" style="7" hidden="1" customWidth="1"/>
    <col min="3077" max="3096" width="4.140625" style="7" hidden="1" customWidth="1"/>
    <col min="3097" max="3099" width="0" style="7" hidden="1" customWidth="1"/>
    <col min="3100" max="3329" width="0" style="7" hidden="1"/>
    <col min="3330" max="3331" width="4.140625" style="7" hidden="1" customWidth="1"/>
    <col min="3332" max="3332" width="4.28515625" style="7" hidden="1" customWidth="1"/>
    <col min="3333" max="3352" width="4.140625" style="7" hidden="1" customWidth="1"/>
    <col min="3353" max="3355" width="0" style="7" hidden="1" customWidth="1"/>
    <col min="3356" max="3585" width="0" style="7" hidden="1"/>
    <col min="3586" max="3587" width="4.140625" style="7" hidden="1" customWidth="1"/>
    <col min="3588" max="3588" width="4.28515625" style="7" hidden="1" customWidth="1"/>
    <col min="3589" max="3608" width="4.140625" style="7" hidden="1" customWidth="1"/>
    <col min="3609" max="3611" width="0" style="7" hidden="1" customWidth="1"/>
    <col min="3612" max="3841" width="0" style="7" hidden="1"/>
    <col min="3842" max="3843" width="4.140625" style="7" hidden="1" customWidth="1"/>
    <col min="3844" max="3844" width="4.28515625" style="7" hidden="1" customWidth="1"/>
    <col min="3845" max="3864" width="4.140625" style="7" hidden="1" customWidth="1"/>
    <col min="3865" max="3867" width="0" style="7" hidden="1" customWidth="1"/>
    <col min="3868" max="4097" width="0" style="7" hidden="1"/>
    <col min="4098" max="4099" width="4.140625" style="7" hidden="1" customWidth="1"/>
    <col min="4100" max="4100" width="4.28515625" style="7" hidden="1" customWidth="1"/>
    <col min="4101" max="4120" width="4.140625" style="7" hidden="1" customWidth="1"/>
    <col min="4121" max="4123" width="0" style="7" hidden="1" customWidth="1"/>
    <col min="4124" max="4353" width="0" style="7" hidden="1"/>
    <col min="4354" max="4355" width="4.140625" style="7" hidden="1" customWidth="1"/>
    <col min="4356" max="4356" width="4.28515625" style="7" hidden="1" customWidth="1"/>
    <col min="4357" max="4376" width="4.140625" style="7" hidden="1" customWidth="1"/>
    <col min="4377" max="4379" width="0" style="7" hidden="1" customWidth="1"/>
    <col min="4380" max="4609" width="0" style="7" hidden="1"/>
    <col min="4610" max="4611" width="4.140625" style="7" hidden="1" customWidth="1"/>
    <col min="4612" max="4612" width="4.28515625" style="7" hidden="1" customWidth="1"/>
    <col min="4613" max="4632" width="4.140625" style="7" hidden="1" customWidth="1"/>
    <col min="4633" max="4635" width="0" style="7" hidden="1" customWidth="1"/>
    <col min="4636" max="4865" width="0" style="7" hidden="1"/>
    <col min="4866" max="4867" width="4.140625" style="7" hidden="1" customWidth="1"/>
    <col min="4868" max="4868" width="4.28515625" style="7" hidden="1" customWidth="1"/>
    <col min="4869" max="4888" width="4.140625" style="7" hidden="1" customWidth="1"/>
    <col min="4889" max="4891" width="0" style="7" hidden="1" customWidth="1"/>
    <col min="4892" max="5121" width="0" style="7" hidden="1"/>
    <col min="5122" max="5123" width="4.140625" style="7" hidden="1" customWidth="1"/>
    <col min="5124" max="5124" width="4.28515625" style="7" hidden="1" customWidth="1"/>
    <col min="5125" max="5144" width="4.140625" style="7" hidden="1" customWidth="1"/>
    <col min="5145" max="5147" width="0" style="7" hidden="1" customWidth="1"/>
    <col min="5148" max="5377" width="0" style="7" hidden="1"/>
    <col min="5378" max="5379" width="4.140625" style="7" hidden="1" customWidth="1"/>
    <col min="5380" max="5380" width="4.28515625" style="7" hidden="1" customWidth="1"/>
    <col min="5381" max="5400" width="4.140625" style="7" hidden="1" customWidth="1"/>
    <col min="5401" max="5403" width="0" style="7" hidden="1" customWidth="1"/>
    <col min="5404" max="5633" width="0" style="7" hidden="1"/>
    <col min="5634" max="5635" width="4.140625" style="7" hidden="1" customWidth="1"/>
    <col min="5636" max="5636" width="4.28515625" style="7" hidden="1" customWidth="1"/>
    <col min="5637" max="5656" width="4.140625" style="7" hidden="1" customWidth="1"/>
    <col min="5657" max="5659" width="0" style="7" hidden="1" customWidth="1"/>
    <col min="5660" max="5889" width="0" style="7" hidden="1"/>
    <col min="5890" max="5891" width="4.140625" style="7" hidden="1" customWidth="1"/>
    <col min="5892" max="5892" width="4.28515625" style="7" hidden="1" customWidth="1"/>
    <col min="5893" max="5912" width="4.140625" style="7" hidden="1" customWidth="1"/>
    <col min="5913" max="5915" width="0" style="7" hidden="1" customWidth="1"/>
    <col min="5916" max="6145" width="0" style="7" hidden="1"/>
    <col min="6146" max="6147" width="4.140625" style="7" hidden="1" customWidth="1"/>
    <col min="6148" max="6148" width="4.28515625" style="7" hidden="1" customWidth="1"/>
    <col min="6149" max="6168" width="4.140625" style="7" hidden="1" customWidth="1"/>
    <col min="6169" max="6171" width="0" style="7" hidden="1" customWidth="1"/>
    <col min="6172" max="6401" width="0" style="7" hidden="1"/>
    <col min="6402" max="6403" width="4.140625" style="7" hidden="1" customWidth="1"/>
    <col min="6404" max="6404" width="4.28515625" style="7" hidden="1" customWidth="1"/>
    <col min="6405" max="6424" width="4.140625" style="7" hidden="1" customWidth="1"/>
    <col min="6425" max="6427" width="0" style="7" hidden="1" customWidth="1"/>
    <col min="6428" max="6657" width="0" style="7" hidden="1"/>
    <col min="6658" max="6659" width="4.140625" style="7" hidden="1" customWidth="1"/>
    <col min="6660" max="6660" width="4.28515625" style="7" hidden="1" customWidth="1"/>
    <col min="6661" max="6680" width="4.140625" style="7" hidden="1" customWidth="1"/>
    <col min="6681" max="6683" width="0" style="7" hidden="1" customWidth="1"/>
    <col min="6684" max="6913" width="0" style="7" hidden="1"/>
    <col min="6914" max="6915" width="4.140625" style="7" hidden="1" customWidth="1"/>
    <col min="6916" max="6916" width="4.28515625" style="7" hidden="1" customWidth="1"/>
    <col min="6917" max="6936" width="4.140625" style="7" hidden="1" customWidth="1"/>
    <col min="6937" max="6939" width="0" style="7" hidden="1" customWidth="1"/>
    <col min="6940" max="7169" width="0" style="7" hidden="1"/>
    <col min="7170" max="7171" width="4.140625" style="7" hidden="1" customWidth="1"/>
    <col min="7172" max="7172" width="4.28515625" style="7" hidden="1" customWidth="1"/>
    <col min="7173" max="7192" width="4.140625" style="7" hidden="1" customWidth="1"/>
    <col min="7193" max="7195" width="0" style="7" hidden="1" customWidth="1"/>
    <col min="7196" max="7425" width="0" style="7" hidden="1"/>
    <col min="7426" max="7427" width="4.140625" style="7" hidden="1" customWidth="1"/>
    <col min="7428" max="7428" width="4.28515625" style="7" hidden="1" customWidth="1"/>
    <col min="7429" max="7448" width="4.140625" style="7" hidden="1" customWidth="1"/>
    <col min="7449" max="7451" width="0" style="7" hidden="1" customWidth="1"/>
    <col min="7452" max="7681" width="0" style="7" hidden="1"/>
    <col min="7682" max="7683" width="4.140625" style="7" hidden="1" customWidth="1"/>
    <col min="7684" max="7684" width="4.28515625" style="7" hidden="1" customWidth="1"/>
    <col min="7685" max="7704" width="4.140625" style="7" hidden="1" customWidth="1"/>
    <col min="7705" max="7707" width="0" style="7" hidden="1" customWidth="1"/>
    <col min="7708" max="7937" width="0" style="7" hidden="1"/>
    <col min="7938" max="7939" width="4.140625" style="7" hidden="1" customWidth="1"/>
    <col min="7940" max="7940" width="4.28515625" style="7" hidden="1" customWidth="1"/>
    <col min="7941" max="7960" width="4.140625" style="7" hidden="1" customWidth="1"/>
    <col min="7961" max="7963" width="0" style="7" hidden="1" customWidth="1"/>
    <col min="7964" max="8193" width="0" style="7" hidden="1"/>
    <col min="8194" max="8195" width="4.140625" style="7" hidden="1" customWidth="1"/>
    <col min="8196" max="8196" width="4.28515625" style="7" hidden="1" customWidth="1"/>
    <col min="8197" max="8216" width="4.140625" style="7" hidden="1" customWidth="1"/>
    <col min="8217" max="8219" width="0" style="7" hidden="1" customWidth="1"/>
    <col min="8220" max="8449" width="0" style="7" hidden="1"/>
    <col min="8450" max="8451" width="4.140625" style="7" hidden="1" customWidth="1"/>
    <col min="8452" max="8452" width="4.28515625" style="7" hidden="1" customWidth="1"/>
    <col min="8453" max="8472" width="4.140625" style="7" hidden="1" customWidth="1"/>
    <col min="8473" max="8475" width="0" style="7" hidden="1" customWidth="1"/>
    <col min="8476" max="8705" width="0" style="7" hidden="1"/>
    <col min="8706" max="8707" width="4.140625" style="7" hidden="1" customWidth="1"/>
    <col min="8708" max="8708" width="4.28515625" style="7" hidden="1" customWidth="1"/>
    <col min="8709" max="8728" width="4.140625" style="7" hidden="1" customWidth="1"/>
    <col min="8729" max="8731" width="0" style="7" hidden="1" customWidth="1"/>
    <col min="8732" max="8961" width="0" style="7" hidden="1"/>
    <col min="8962" max="8963" width="4.140625" style="7" hidden="1" customWidth="1"/>
    <col min="8964" max="8964" width="4.28515625" style="7" hidden="1" customWidth="1"/>
    <col min="8965" max="8984" width="4.140625" style="7" hidden="1" customWidth="1"/>
    <col min="8985" max="8987" width="0" style="7" hidden="1" customWidth="1"/>
    <col min="8988" max="9217" width="0" style="7" hidden="1"/>
    <col min="9218" max="9219" width="4.140625" style="7" hidden="1" customWidth="1"/>
    <col min="9220" max="9220" width="4.28515625" style="7" hidden="1" customWidth="1"/>
    <col min="9221" max="9240" width="4.140625" style="7" hidden="1" customWidth="1"/>
    <col min="9241" max="9243" width="0" style="7" hidden="1" customWidth="1"/>
    <col min="9244" max="9473" width="0" style="7" hidden="1"/>
    <col min="9474" max="9475" width="4.140625" style="7" hidden="1" customWidth="1"/>
    <col min="9476" max="9476" width="4.28515625" style="7" hidden="1" customWidth="1"/>
    <col min="9477" max="9496" width="4.140625" style="7" hidden="1" customWidth="1"/>
    <col min="9497" max="9499" width="0" style="7" hidden="1" customWidth="1"/>
    <col min="9500" max="9729" width="0" style="7" hidden="1"/>
    <col min="9730" max="9731" width="4.140625" style="7" hidden="1" customWidth="1"/>
    <col min="9732" max="9732" width="4.28515625" style="7" hidden="1" customWidth="1"/>
    <col min="9733" max="9752" width="4.140625" style="7" hidden="1" customWidth="1"/>
    <col min="9753" max="9755" width="0" style="7" hidden="1" customWidth="1"/>
    <col min="9756" max="9985" width="0" style="7" hidden="1"/>
    <col min="9986" max="9987" width="4.140625" style="7" hidden="1" customWidth="1"/>
    <col min="9988" max="9988" width="4.28515625" style="7" hidden="1" customWidth="1"/>
    <col min="9989" max="10008" width="4.140625" style="7" hidden="1" customWidth="1"/>
    <col min="10009" max="10011" width="0" style="7" hidden="1" customWidth="1"/>
    <col min="10012" max="10241" width="0" style="7" hidden="1"/>
    <col min="10242" max="10243" width="4.140625" style="7" hidden="1" customWidth="1"/>
    <col min="10244" max="10244" width="4.28515625" style="7" hidden="1" customWidth="1"/>
    <col min="10245" max="10264" width="4.140625" style="7" hidden="1" customWidth="1"/>
    <col min="10265" max="10267" width="0" style="7" hidden="1" customWidth="1"/>
    <col min="10268" max="10497" width="0" style="7" hidden="1"/>
    <col min="10498" max="10499" width="4.140625" style="7" hidden="1" customWidth="1"/>
    <col min="10500" max="10500" width="4.28515625" style="7" hidden="1" customWidth="1"/>
    <col min="10501" max="10520" width="4.140625" style="7" hidden="1" customWidth="1"/>
    <col min="10521" max="10523" width="0" style="7" hidden="1" customWidth="1"/>
    <col min="10524" max="10753" width="0" style="7" hidden="1"/>
    <col min="10754" max="10755" width="4.140625" style="7" hidden="1" customWidth="1"/>
    <col min="10756" max="10756" width="4.28515625" style="7" hidden="1" customWidth="1"/>
    <col min="10757" max="10776" width="4.140625" style="7" hidden="1" customWidth="1"/>
    <col min="10777" max="10779" width="0" style="7" hidden="1" customWidth="1"/>
    <col min="10780" max="11009" width="0" style="7" hidden="1"/>
    <col min="11010" max="11011" width="4.140625" style="7" hidden="1" customWidth="1"/>
    <col min="11012" max="11012" width="4.28515625" style="7" hidden="1" customWidth="1"/>
    <col min="11013" max="11032" width="4.140625" style="7" hidden="1" customWidth="1"/>
    <col min="11033" max="11035" width="0" style="7" hidden="1" customWidth="1"/>
    <col min="11036" max="11265" width="0" style="7" hidden="1"/>
    <col min="11266" max="11267" width="4.140625" style="7" hidden="1" customWidth="1"/>
    <col min="11268" max="11268" width="4.28515625" style="7" hidden="1" customWidth="1"/>
    <col min="11269" max="11288" width="4.140625" style="7" hidden="1" customWidth="1"/>
    <col min="11289" max="11291" width="0" style="7" hidden="1" customWidth="1"/>
    <col min="11292" max="11521" width="0" style="7" hidden="1"/>
    <col min="11522" max="11523" width="4.140625" style="7" hidden="1" customWidth="1"/>
    <col min="11524" max="11524" width="4.28515625" style="7" hidden="1" customWidth="1"/>
    <col min="11525" max="11544" width="4.140625" style="7" hidden="1" customWidth="1"/>
    <col min="11545" max="11547" width="0" style="7" hidden="1" customWidth="1"/>
    <col min="11548" max="11777" width="0" style="7" hidden="1"/>
    <col min="11778" max="11779" width="4.140625" style="7" hidden="1" customWidth="1"/>
    <col min="11780" max="11780" width="4.28515625" style="7" hidden="1" customWidth="1"/>
    <col min="11781" max="11800" width="4.140625" style="7" hidden="1" customWidth="1"/>
    <col min="11801" max="11803" width="0" style="7" hidden="1" customWidth="1"/>
    <col min="11804" max="12033" width="0" style="7" hidden="1"/>
    <col min="12034" max="12035" width="4.140625" style="7" hidden="1" customWidth="1"/>
    <col min="12036" max="12036" width="4.28515625" style="7" hidden="1" customWidth="1"/>
    <col min="12037" max="12056" width="4.140625" style="7" hidden="1" customWidth="1"/>
    <col min="12057" max="12059" width="0" style="7" hidden="1" customWidth="1"/>
    <col min="12060" max="12289" width="0" style="7" hidden="1"/>
    <col min="12290" max="12291" width="4.140625" style="7" hidden="1" customWidth="1"/>
    <col min="12292" max="12292" width="4.28515625" style="7" hidden="1" customWidth="1"/>
    <col min="12293" max="12312" width="4.140625" style="7" hidden="1" customWidth="1"/>
    <col min="12313" max="12315" width="0" style="7" hidden="1" customWidth="1"/>
    <col min="12316" max="12545" width="0" style="7" hidden="1"/>
    <col min="12546" max="12547" width="4.140625" style="7" hidden="1" customWidth="1"/>
    <col min="12548" max="12548" width="4.28515625" style="7" hidden="1" customWidth="1"/>
    <col min="12549" max="12568" width="4.140625" style="7" hidden="1" customWidth="1"/>
    <col min="12569" max="12571" width="0" style="7" hidden="1" customWidth="1"/>
    <col min="12572" max="12801" width="0" style="7" hidden="1"/>
    <col min="12802" max="12803" width="4.140625" style="7" hidden="1" customWidth="1"/>
    <col min="12804" max="12804" width="4.28515625" style="7" hidden="1" customWidth="1"/>
    <col min="12805" max="12824" width="4.140625" style="7" hidden="1" customWidth="1"/>
    <col min="12825" max="12827" width="0" style="7" hidden="1" customWidth="1"/>
    <col min="12828" max="13057" width="0" style="7" hidden="1"/>
    <col min="13058" max="13059" width="4.140625" style="7" hidden="1" customWidth="1"/>
    <col min="13060" max="13060" width="4.28515625" style="7" hidden="1" customWidth="1"/>
    <col min="13061" max="13080" width="4.140625" style="7" hidden="1" customWidth="1"/>
    <col min="13081" max="13083" width="0" style="7" hidden="1" customWidth="1"/>
    <col min="13084" max="13313" width="0" style="7" hidden="1"/>
    <col min="13314" max="13315" width="4.140625" style="7" hidden="1" customWidth="1"/>
    <col min="13316" max="13316" width="4.28515625" style="7" hidden="1" customWidth="1"/>
    <col min="13317" max="13336" width="4.140625" style="7" hidden="1" customWidth="1"/>
    <col min="13337" max="13339" width="0" style="7" hidden="1" customWidth="1"/>
    <col min="13340" max="13569" width="0" style="7" hidden="1"/>
    <col min="13570" max="13571" width="4.140625" style="7" hidden="1" customWidth="1"/>
    <col min="13572" max="13572" width="4.28515625" style="7" hidden="1" customWidth="1"/>
    <col min="13573" max="13592" width="4.140625" style="7" hidden="1" customWidth="1"/>
    <col min="13593" max="13595" width="0" style="7" hidden="1" customWidth="1"/>
    <col min="13596" max="13825" width="0" style="7" hidden="1"/>
    <col min="13826" max="13827" width="4.140625" style="7" hidden="1" customWidth="1"/>
    <col min="13828" max="13828" width="4.28515625" style="7" hidden="1" customWidth="1"/>
    <col min="13829" max="13848" width="4.140625" style="7" hidden="1" customWidth="1"/>
    <col min="13849" max="13851" width="0" style="7" hidden="1" customWidth="1"/>
    <col min="13852" max="14081" width="0" style="7" hidden="1"/>
    <col min="14082" max="14083" width="4.140625" style="7" hidden="1" customWidth="1"/>
    <col min="14084" max="14084" width="4.28515625" style="7" hidden="1" customWidth="1"/>
    <col min="14085" max="14104" width="4.140625" style="7" hidden="1" customWidth="1"/>
    <col min="14105" max="14107" width="0" style="7" hidden="1" customWidth="1"/>
    <col min="14108" max="14337" width="0" style="7" hidden="1"/>
    <col min="14338" max="14339" width="4.140625" style="7" hidden="1" customWidth="1"/>
    <col min="14340" max="14340" width="4.28515625" style="7" hidden="1" customWidth="1"/>
    <col min="14341" max="14360" width="4.140625" style="7" hidden="1" customWidth="1"/>
    <col min="14361" max="14363" width="0" style="7" hidden="1" customWidth="1"/>
    <col min="14364" max="14593" width="0" style="7" hidden="1"/>
    <col min="14594" max="14595" width="4.140625" style="7" hidden="1" customWidth="1"/>
    <col min="14596" max="14596" width="4.28515625" style="7" hidden="1" customWidth="1"/>
    <col min="14597" max="14616" width="4.140625" style="7" hidden="1" customWidth="1"/>
    <col min="14617" max="14619" width="0" style="7" hidden="1" customWidth="1"/>
    <col min="14620" max="14849" width="0" style="7" hidden="1"/>
    <col min="14850" max="14851" width="4.140625" style="7" hidden="1" customWidth="1"/>
    <col min="14852" max="14852" width="4.28515625" style="7" hidden="1" customWidth="1"/>
    <col min="14853" max="14872" width="4.140625" style="7" hidden="1" customWidth="1"/>
    <col min="14873" max="14875" width="0" style="7" hidden="1" customWidth="1"/>
    <col min="14876" max="15105" width="0" style="7" hidden="1"/>
    <col min="15106" max="15107" width="4.140625" style="7" hidden="1" customWidth="1"/>
    <col min="15108" max="15108" width="4.28515625" style="7" hidden="1" customWidth="1"/>
    <col min="15109" max="15128" width="4.140625" style="7" hidden="1" customWidth="1"/>
    <col min="15129" max="15131" width="0" style="7" hidden="1" customWidth="1"/>
    <col min="15132" max="15361" width="0" style="7" hidden="1"/>
    <col min="15362" max="15363" width="4.140625" style="7" hidden="1" customWidth="1"/>
    <col min="15364" max="15364" width="4.28515625" style="7" hidden="1" customWidth="1"/>
    <col min="15365" max="15384" width="4.140625" style="7" hidden="1" customWidth="1"/>
    <col min="15385" max="15387" width="0" style="7" hidden="1" customWidth="1"/>
    <col min="15388" max="15617" width="0" style="7" hidden="1"/>
    <col min="15618" max="15619" width="4.140625" style="7" hidden="1" customWidth="1"/>
    <col min="15620" max="15620" width="4.28515625" style="7" hidden="1" customWidth="1"/>
    <col min="15621" max="15640" width="4.140625" style="7" hidden="1" customWidth="1"/>
    <col min="15641" max="15643" width="0" style="7" hidden="1" customWidth="1"/>
    <col min="15644" max="15873" width="0" style="7" hidden="1"/>
    <col min="15874" max="15875" width="4.140625" style="7" hidden="1" customWidth="1"/>
    <col min="15876" max="15876" width="4.28515625" style="7" hidden="1" customWidth="1"/>
    <col min="15877" max="15896" width="4.140625" style="7" hidden="1" customWidth="1"/>
    <col min="15897" max="15899" width="0" style="7" hidden="1" customWidth="1"/>
    <col min="15900" max="16129" width="0" style="7" hidden="1"/>
    <col min="16130" max="16131" width="4.140625" style="7" hidden="1" customWidth="1"/>
    <col min="16132" max="16132" width="4.28515625" style="7" hidden="1" customWidth="1"/>
    <col min="16133" max="16152" width="4.140625" style="7" hidden="1" customWidth="1"/>
    <col min="16153" max="16155" width="0" style="7" hidden="1" customWidth="1"/>
    <col min="16156" max="16384" width="0" style="7" hidden="1"/>
  </cols>
  <sheetData>
    <row r="1" spans="2:23" ht="18.75" customHeight="1">
      <c r="B1" s="609" t="s">
        <v>18</v>
      </c>
      <c r="C1" s="609"/>
      <c r="D1" s="609"/>
      <c r="E1" s="609"/>
      <c r="F1" s="609"/>
      <c r="G1" s="609"/>
      <c r="H1" s="609"/>
      <c r="I1" s="609"/>
      <c r="J1" s="609"/>
      <c r="K1" s="609"/>
      <c r="L1" s="609"/>
      <c r="M1" s="609"/>
      <c r="N1" s="609"/>
      <c r="O1" s="609"/>
      <c r="P1" s="609"/>
      <c r="Q1" s="609"/>
      <c r="R1" s="609"/>
      <c r="S1" s="609"/>
      <c r="T1" s="609"/>
      <c r="U1" s="609"/>
      <c r="V1" s="609"/>
      <c r="W1" s="609"/>
    </row>
    <row r="2" spans="2:23" ht="13.5" customHeight="1">
      <c r="B2" s="597" t="s">
        <v>19</v>
      </c>
      <c r="C2" s="597"/>
      <c r="D2" s="597"/>
      <c r="E2" s="597"/>
      <c r="F2" s="597"/>
      <c r="G2" s="597"/>
      <c r="H2" s="597"/>
      <c r="I2" s="597"/>
      <c r="J2" s="597"/>
      <c r="K2" s="597"/>
      <c r="L2" s="597"/>
      <c r="M2" s="597"/>
      <c r="N2" s="597"/>
      <c r="O2" s="597"/>
      <c r="P2" s="597"/>
      <c r="Q2" s="597"/>
      <c r="R2" s="597"/>
      <c r="S2" s="597"/>
      <c r="T2" s="597"/>
      <c r="U2" s="597"/>
      <c r="V2" s="597"/>
      <c r="W2" s="597"/>
    </row>
    <row r="3" spans="2:23" ht="13.5" customHeight="1">
      <c r="B3" s="597" t="s">
        <v>484</v>
      </c>
      <c r="C3" s="597"/>
      <c r="D3" s="597"/>
      <c r="E3" s="597"/>
      <c r="F3" s="597"/>
      <c r="G3" s="597"/>
      <c r="H3" s="597"/>
      <c r="I3" s="597"/>
      <c r="J3" s="597"/>
      <c r="K3" s="597"/>
      <c r="L3" s="597"/>
      <c r="M3" s="597"/>
      <c r="N3" s="597"/>
      <c r="O3" s="597"/>
      <c r="P3" s="597"/>
      <c r="Q3" s="597"/>
      <c r="R3" s="597"/>
      <c r="S3" s="597"/>
      <c r="T3" s="597"/>
      <c r="U3" s="597"/>
      <c r="V3" s="597"/>
      <c r="W3" s="597"/>
    </row>
    <row r="4" spans="2:23" ht="26.25" customHeight="1">
      <c r="B4" s="576" t="str">
        <f>CONCATENATE("              (*) I, ",Data!G4," ",Data!I4," holding the post of (as on option) ",Data!I5," in the scale of Rs. ",Data!G41," in the office of ",Data!I7," do here by elect to come under Revised Pay Scales, 2020 with effect from ",Data!AP199,".")</f>
        <v xml:space="preserve">              (*) I, Sri. Putta Srinivas Reddy holding the post of (as on option) Secondary Grade Teacher in the scale of Rs. 29760 - 80930 in the office of MPPS SRM do here by elect to come under Revised Pay Scales, 2020 with effect from 01.07.2018.</v>
      </c>
      <c r="C4" s="576"/>
      <c r="D4" s="576"/>
      <c r="E4" s="576"/>
      <c r="F4" s="576"/>
      <c r="G4" s="576"/>
      <c r="H4" s="576"/>
      <c r="I4" s="576"/>
      <c r="J4" s="576"/>
      <c r="K4" s="576"/>
      <c r="L4" s="576"/>
      <c r="M4" s="576"/>
      <c r="N4" s="576"/>
      <c r="O4" s="576"/>
      <c r="P4" s="576"/>
      <c r="Q4" s="576"/>
      <c r="R4" s="576"/>
      <c r="S4" s="576"/>
      <c r="T4" s="576"/>
      <c r="U4" s="576"/>
      <c r="V4" s="576"/>
      <c r="W4" s="576"/>
    </row>
    <row r="5" spans="2:23" ht="26.25" customHeight="1">
      <c r="B5" s="576"/>
      <c r="C5" s="576"/>
      <c r="D5" s="576"/>
      <c r="E5" s="576"/>
      <c r="F5" s="576"/>
      <c r="G5" s="576"/>
      <c r="H5" s="576"/>
      <c r="I5" s="576"/>
      <c r="J5" s="576"/>
      <c r="K5" s="576"/>
      <c r="L5" s="576"/>
      <c r="M5" s="576"/>
      <c r="N5" s="576"/>
      <c r="O5" s="576"/>
      <c r="P5" s="576"/>
      <c r="Q5" s="576"/>
      <c r="R5" s="576"/>
      <c r="S5" s="576"/>
      <c r="T5" s="576"/>
      <c r="U5" s="576"/>
      <c r="V5" s="576"/>
      <c r="W5" s="576"/>
    </row>
    <row r="6" spans="2:23" ht="22.5" customHeight="1">
      <c r="B6" s="576"/>
      <c r="C6" s="576"/>
      <c r="D6" s="576"/>
      <c r="E6" s="576"/>
      <c r="F6" s="576"/>
      <c r="G6" s="576"/>
      <c r="H6" s="576"/>
      <c r="I6" s="576"/>
      <c r="J6" s="576"/>
      <c r="K6" s="576"/>
      <c r="L6" s="576"/>
      <c r="M6" s="576"/>
      <c r="N6" s="576"/>
      <c r="O6" s="576"/>
      <c r="P6" s="576"/>
      <c r="Q6" s="576"/>
      <c r="R6" s="576"/>
      <c r="S6" s="576"/>
      <c r="T6" s="576"/>
      <c r="U6" s="576"/>
      <c r="V6" s="576"/>
      <c r="W6" s="576"/>
    </row>
    <row r="7" spans="2:23" ht="17.25" customHeight="1">
      <c r="D7" s="7" t="s">
        <v>20</v>
      </c>
      <c r="E7" s="597" t="s">
        <v>21</v>
      </c>
      <c r="F7" s="597"/>
      <c r="G7" s="597"/>
      <c r="H7" s="597"/>
      <c r="I7" s="597"/>
      <c r="J7" s="597"/>
      <c r="K7" s="597"/>
      <c r="L7" s="597"/>
      <c r="M7" s="597"/>
      <c r="N7" s="597"/>
      <c r="O7" s="597"/>
      <c r="P7" s="597"/>
      <c r="Q7" s="597"/>
      <c r="R7" s="597"/>
      <c r="S7" s="7" t="s">
        <v>22</v>
      </c>
    </row>
    <row r="8" spans="2:23" ht="17.25" customHeight="1">
      <c r="B8" s="597" t="s">
        <v>23</v>
      </c>
      <c r="C8" s="597"/>
      <c r="D8" s="597"/>
      <c r="E8" s="597"/>
      <c r="F8" s="597"/>
      <c r="G8" s="597"/>
      <c r="H8" s="597"/>
      <c r="I8" s="597"/>
      <c r="J8" s="597"/>
      <c r="K8" s="597"/>
      <c r="L8" s="7" t="s">
        <v>24</v>
      </c>
      <c r="P8" s="7" t="s">
        <v>25</v>
      </c>
      <c r="Q8" s="597"/>
      <c r="R8" s="597"/>
      <c r="S8" s="597"/>
      <c r="T8" s="597"/>
      <c r="U8" s="597"/>
      <c r="V8" s="597"/>
      <c r="W8" s="597"/>
    </row>
    <row r="9" spans="2:23" ht="17.25" customHeight="1">
      <c r="B9" s="7" t="s">
        <v>26</v>
      </c>
      <c r="F9" s="597" t="s">
        <v>27</v>
      </c>
      <c r="G9" s="597"/>
      <c r="H9" s="597"/>
      <c r="I9" s="597"/>
      <c r="J9" s="597"/>
      <c r="K9" s="597"/>
      <c r="L9" s="597"/>
      <c r="M9" s="597"/>
      <c r="N9" s="597"/>
      <c r="O9" s="597"/>
      <c r="P9" s="597" t="s">
        <v>28</v>
      </c>
      <c r="Q9" s="597"/>
      <c r="R9" s="597"/>
      <c r="S9" s="597"/>
      <c r="T9" s="597"/>
      <c r="U9" s="597"/>
      <c r="V9" s="597"/>
      <c r="W9" s="7" t="s">
        <v>29</v>
      </c>
    </row>
    <row r="10" spans="2:23" ht="17.25" customHeight="1">
      <c r="B10" s="7" t="s">
        <v>30</v>
      </c>
    </row>
    <row r="11" spans="2:23" ht="7.5" customHeight="1"/>
    <row r="12" spans="2:23" ht="15" customHeight="1">
      <c r="D12" s="7" t="s">
        <v>31</v>
      </c>
    </row>
    <row r="13" spans="2:23" ht="10.5" customHeight="1"/>
    <row r="14" spans="2:23" ht="29.25" customHeight="1"/>
    <row r="15" spans="2:23" ht="17.25" customHeight="1">
      <c r="B15" s="7" t="s">
        <v>32</v>
      </c>
      <c r="D15" s="600">
        <f ca="1">TODAY()</f>
        <v>44363</v>
      </c>
      <c r="E15" s="600"/>
      <c r="F15" s="600"/>
      <c r="G15" s="8"/>
      <c r="H15" s="8"/>
      <c r="I15" s="8"/>
      <c r="J15" s="8"/>
      <c r="K15" s="7" t="s">
        <v>33</v>
      </c>
      <c r="N15" s="9" t="s">
        <v>34</v>
      </c>
      <c r="O15" s="128"/>
      <c r="P15" s="128"/>
      <c r="Q15" s="128"/>
      <c r="R15" s="128"/>
      <c r="S15" s="128"/>
      <c r="T15" s="128"/>
      <c r="U15" s="128"/>
    </row>
    <row r="16" spans="2:23" ht="17.25" customHeight="1">
      <c r="B16" s="7" t="s">
        <v>35</v>
      </c>
      <c r="D16" s="608" t="str">
        <f>Data!I8</f>
        <v>Domakonda</v>
      </c>
      <c r="E16" s="608"/>
      <c r="F16" s="608"/>
      <c r="G16" s="608"/>
      <c r="H16" s="608"/>
      <c r="I16" s="608"/>
      <c r="J16" s="608"/>
      <c r="K16" s="7" t="s">
        <v>36</v>
      </c>
      <c r="N16" s="9" t="s">
        <v>34</v>
      </c>
      <c r="O16" s="608" t="str">
        <f>Data!I4</f>
        <v>Putta Srinivas Reddy</v>
      </c>
      <c r="P16" s="608"/>
      <c r="Q16" s="608"/>
      <c r="R16" s="608"/>
      <c r="S16" s="608"/>
      <c r="T16" s="608"/>
      <c r="U16" s="608"/>
      <c r="V16" s="608"/>
      <c r="W16" s="608"/>
    </row>
    <row r="17" spans="2:23" ht="17.25" customHeight="1">
      <c r="K17" s="7" t="s">
        <v>37</v>
      </c>
      <c r="N17" s="9" t="s">
        <v>34</v>
      </c>
      <c r="O17" s="608" t="str">
        <f>Data!I6</f>
        <v>Secondary Grade Teacher</v>
      </c>
      <c r="P17" s="608"/>
      <c r="Q17" s="608"/>
      <c r="R17" s="608"/>
      <c r="S17" s="608"/>
      <c r="T17" s="608"/>
      <c r="U17" s="608"/>
      <c r="V17" s="608"/>
      <c r="W17" s="608"/>
    </row>
    <row r="18" spans="2:23" ht="17.25" customHeight="1">
      <c r="K18" s="603" t="s">
        <v>38</v>
      </c>
      <c r="L18" s="603"/>
      <c r="M18" s="603"/>
      <c r="N18" s="603"/>
      <c r="O18" s="603" t="str">
        <f>CONCATENATE(Data!I7," ",Data!I8)</f>
        <v>MPPS SRM Domakonda</v>
      </c>
      <c r="P18" s="603"/>
      <c r="Q18" s="603"/>
      <c r="R18" s="603"/>
      <c r="S18" s="603"/>
      <c r="T18" s="603"/>
      <c r="U18" s="603"/>
      <c r="V18" s="603"/>
      <c r="W18" s="603"/>
    </row>
    <row r="19" spans="2:23" ht="17.25" customHeight="1">
      <c r="K19" s="603"/>
      <c r="L19" s="603"/>
      <c r="M19" s="603"/>
      <c r="N19" s="603"/>
      <c r="O19" s="603"/>
      <c r="P19" s="603"/>
      <c r="Q19" s="603"/>
      <c r="R19" s="603"/>
      <c r="S19" s="603"/>
      <c r="T19" s="603"/>
      <c r="U19" s="603"/>
      <c r="V19" s="603"/>
      <c r="W19" s="603"/>
    </row>
    <row r="20" spans="2:23" ht="24.75" customHeight="1">
      <c r="K20" s="129"/>
      <c r="L20" s="129"/>
      <c r="M20" s="129"/>
      <c r="N20" s="129"/>
      <c r="O20" s="129"/>
      <c r="P20" s="129"/>
      <c r="Q20" s="129"/>
      <c r="R20" s="129"/>
      <c r="S20" s="129"/>
      <c r="T20" s="129"/>
      <c r="U20" s="129"/>
      <c r="V20" s="129"/>
      <c r="W20" s="129"/>
    </row>
    <row r="21" spans="2:23" ht="27" customHeight="1">
      <c r="K21" s="607" t="s">
        <v>39</v>
      </c>
      <c r="L21" s="607"/>
      <c r="M21" s="607"/>
      <c r="N21" s="607"/>
      <c r="O21" s="607"/>
      <c r="P21" s="607"/>
      <c r="Q21" s="607"/>
      <c r="R21" s="607"/>
      <c r="S21" s="607"/>
      <c r="T21" s="607"/>
      <c r="U21" s="607"/>
      <c r="V21" s="607"/>
      <c r="W21" s="607"/>
    </row>
    <row r="22" spans="2:23" ht="45" customHeight="1">
      <c r="K22" s="604" t="s">
        <v>40</v>
      </c>
      <c r="L22" s="604"/>
      <c r="M22" s="604"/>
      <c r="N22" s="604"/>
      <c r="O22" s="604"/>
      <c r="P22" s="604"/>
      <c r="Q22" s="604"/>
      <c r="R22" s="604"/>
    </row>
    <row r="23" spans="2:23" ht="14.25" customHeight="1">
      <c r="K23" s="7" t="s">
        <v>41</v>
      </c>
      <c r="O23" s="605"/>
      <c r="P23" s="605"/>
      <c r="Q23" s="605"/>
      <c r="R23" s="8"/>
    </row>
    <row r="24" spans="2:23" ht="15.75" customHeight="1">
      <c r="J24" s="597" t="s">
        <v>42</v>
      </c>
      <c r="K24" s="597"/>
      <c r="L24" s="597"/>
      <c r="M24" s="597"/>
      <c r="N24" s="597"/>
      <c r="O24" s="597"/>
      <c r="P24" s="597"/>
      <c r="Q24" s="597"/>
      <c r="R24" s="597"/>
      <c r="S24" s="597"/>
      <c r="T24" s="597"/>
    </row>
    <row r="25" spans="2:23" ht="20.25" customHeight="1"/>
    <row r="26" spans="2:23" ht="20.25" customHeight="1"/>
    <row r="27" spans="2:23" ht="19.5" customHeight="1">
      <c r="J27" s="597" t="s">
        <v>43</v>
      </c>
      <c r="K27" s="597"/>
      <c r="L27" s="597"/>
      <c r="M27" s="597"/>
      <c r="N27" s="597"/>
      <c r="O27" s="597"/>
      <c r="P27" s="597"/>
      <c r="Q27" s="597"/>
      <c r="R27" s="597"/>
      <c r="S27" s="597"/>
      <c r="T27" s="597"/>
    </row>
    <row r="28" spans="2:23" ht="19.5" customHeight="1">
      <c r="J28" s="597" t="s">
        <v>44</v>
      </c>
      <c r="K28" s="597"/>
      <c r="L28" s="597"/>
      <c r="M28" s="597"/>
      <c r="N28" s="597"/>
      <c r="O28" s="597"/>
      <c r="P28" s="597"/>
      <c r="Q28" s="597"/>
      <c r="R28" s="597"/>
      <c r="S28" s="597"/>
      <c r="T28" s="597"/>
    </row>
    <row r="29" spans="2:23" ht="16.5" customHeight="1">
      <c r="J29" s="128"/>
      <c r="K29" s="128"/>
      <c r="L29" s="128"/>
      <c r="M29" s="128"/>
      <c r="N29" s="128"/>
      <c r="O29" s="128"/>
      <c r="P29" s="128"/>
      <c r="Q29" s="128"/>
      <c r="R29" s="128"/>
      <c r="S29" s="128"/>
      <c r="T29" s="128"/>
    </row>
    <row r="30" spans="2:23" ht="20.25" customHeight="1">
      <c r="B30" s="10" t="s">
        <v>45</v>
      </c>
      <c r="D30" s="10" t="s">
        <v>46</v>
      </c>
    </row>
    <row r="31" spans="2:23" ht="18" customHeight="1">
      <c r="D31" s="7" t="s">
        <v>47</v>
      </c>
      <c r="E31" s="7" t="s">
        <v>48</v>
      </c>
    </row>
    <row r="32" spans="2:23" ht="33.75" customHeight="1"/>
    <row r="33" spans="2:24" ht="20.25" customHeight="1">
      <c r="B33" s="7" t="s">
        <v>1</v>
      </c>
      <c r="D33" s="600"/>
      <c r="E33" s="600"/>
      <c r="F33" s="600"/>
      <c r="N33" s="7" t="s">
        <v>33</v>
      </c>
      <c r="Q33" s="9" t="s">
        <v>34</v>
      </c>
    </row>
    <row r="34" spans="2:24" ht="20.25" customHeight="1">
      <c r="M34" s="606" t="s">
        <v>49</v>
      </c>
      <c r="N34" s="606"/>
      <c r="O34" s="606"/>
      <c r="P34" s="606"/>
      <c r="Q34" s="606"/>
      <c r="R34" s="606"/>
      <c r="S34" s="606"/>
      <c r="T34" s="606"/>
      <c r="U34" s="606"/>
      <c r="V34" s="606"/>
      <c r="W34" s="606"/>
    </row>
    <row r="35" spans="2:24" ht="18" customHeight="1">
      <c r="N35" s="130"/>
      <c r="O35" s="130"/>
      <c r="P35" s="130"/>
      <c r="Q35" s="130"/>
      <c r="R35" s="130"/>
      <c r="S35" s="130"/>
      <c r="T35" s="130"/>
      <c r="U35" s="130"/>
      <c r="V35" s="130"/>
    </row>
    <row r="36" spans="2:24" ht="15.75" customHeight="1">
      <c r="N36" s="11"/>
      <c r="O36" s="11"/>
      <c r="P36" s="11"/>
      <c r="Q36" s="11"/>
      <c r="R36" s="11"/>
      <c r="S36" s="11"/>
      <c r="T36" s="11"/>
      <c r="U36" s="11"/>
      <c r="V36" s="11"/>
    </row>
    <row r="37" spans="2:24" s="10" customFormat="1" ht="6" customHeight="1">
      <c r="B37" s="10" t="s">
        <v>50</v>
      </c>
    </row>
    <row r="38" spans="2:24" ht="13.5" customHeight="1">
      <c r="B38" s="601" t="s">
        <v>312</v>
      </c>
      <c r="C38" s="602"/>
      <c r="D38" s="602"/>
      <c r="E38" s="602"/>
      <c r="F38" s="602"/>
      <c r="G38" s="602"/>
      <c r="H38" s="602"/>
      <c r="I38" s="602"/>
      <c r="J38" s="602"/>
      <c r="K38" s="602"/>
      <c r="L38" s="602"/>
      <c r="M38" s="602"/>
      <c r="N38" s="602"/>
      <c r="O38" s="602"/>
      <c r="P38" s="602"/>
      <c r="Q38" s="602"/>
      <c r="R38" s="602"/>
      <c r="S38" s="602"/>
      <c r="T38" s="602"/>
      <c r="U38" s="602"/>
      <c r="V38" s="602"/>
      <c r="W38" s="602"/>
      <c r="X38" s="602"/>
    </row>
    <row r="39" spans="2:24" ht="27" hidden="1" customHeight="1"/>
    <row r="40" spans="2:24" ht="27" hidden="1" customHeight="1"/>
    <row r="41" spans="2:24" ht="27" hidden="1" customHeight="1"/>
    <row r="42" spans="2:24" ht="27" hidden="1" customHeight="1"/>
    <row r="43" spans="2:24" ht="27" hidden="1" customHeight="1"/>
  </sheetData>
  <sheetProtection password="D8E3" sheet="1" objects="1" scenarios="1" selectLockedCells="1"/>
  <protectedRanges>
    <protectedRange sqref="B4:W6 M34 P21:W34 O7:O18 O21:O34 B1:W1 B2:W3 P7:W20 B7:N20 M21:N33 B21:L34" name="Range1"/>
  </protectedRanges>
  <customSheetViews>
    <customSheetView guid="{F60E2261-838F-4117-A98D-7C5CFDCC0021}" showGridLines="0" showRowCol="0" hiddenRows="1" hiddenColumns="1">
      <selection activeCell="B7" sqref="B7"/>
      <pageMargins left="0.70866141732283472" right="0.70866141732283472" top="0.59055118110236227" bottom="0.39370078740157483" header="0.31496062992125984" footer="0.31496062992125984"/>
      <pageSetup paperSize="9" orientation="portrait" r:id="rId1"/>
    </customSheetView>
    <customSheetView guid="{5633FAF7-B486-4D0B-84AB-497A2BE1B953}" showGridLines="0" showRowCol="0" hiddenRows="1" hiddenColumns="1">
      <selection activeCell="B7" sqref="B7"/>
      <pageMargins left="0.70866141732283472" right="0.70866141732283472" top="0.59055118110236227" bottom="0.39370078740157483" header="0.31496062992125984" footer="0.31496062992125984"/>
      <pageSetup paperSize="9" orientation="portrait" r:id="rId2"/>
    </customSheetView>
  </customSheetViews>
  <mergeCells count="24">
    <mergeCell ref="O17:W17"/>
    <mergeCell ref="B1:W1"/>
    <mergeCell ref="B2:W2"/>
    <mergeCell ref="B3:W3"/>
    <mergeCell ref="B4:W6"/>
    <mergeCell ref="E7:R7"/>
    <mergeCell ref="B8:K8"/>
    <mergeCell ref="Q8:W8"/>
    <mergeCell ref="F9:O9"/>
    <mergeCell ref="P9:V9"/>
    <mergeCell ref="D15:F15"/>
    <mergeCell ref="D16:J16"/>
    <mergeCell ref="O16:W16"/>
    <mergeCell ref="J28:T28"/>
    <mergeCell ref="D33:F33"/>
    <mergeCell ref="B38:X38"/>
    <mergeCell ref="K18:N19"/>
    <mergeCell ref="O18:W19"/>
    <mergeCell ref="K22:R22"/>
    <mergeCell ref="O23:Q23"/>
    <mergeCell ref="J24:T24"/>
    <mergeCell ref="J27:T27"/>
    <mergeCell ref="M34:W34"/>
    <mergeCell ref="K21:W21"/>
  </mergeCells>
  <pageMargins left="0.70866141732283472" right="0.70866141732283472" top="0.59055118110236227" bottom="0.39370078740157483" header="0.31496062992125984" footer="0.31496062992125984"/>
  <pageSetup paperSize="9" orientation="portrait" r:id="rId3"/>
  <drawing r:id="rId4"/>
</worksheet>
</file>

<file path=xl/worksheets/sheet4.xml><?xml version="1.0" encoding="utf-8"?>
<worksheet xmlns="http://schemas.openxmlformats.org/spreadsheetml/2006/main" xmlns:r="http://schemas.openxmlformats.org/officeDocument/2006/relationships">
  <sheetPr codeName="Sheet4">
    <tabColor theme="5" tint="-0.249977111117893"/>
  </sheetPr>
  <dimension ref="B1:WWE135"/>
  <sheetViews>
    <sheetView showGridLines="0" showRowColHeaders="0" workbookViewId="0">
      <selection activeCell="B4" sqref="B4:V4"/>
    </sheetView>
  </sheetViews>
  <sheetFormatPr defaultColWidth="0" defaultRowHeight="15.75" zeroHeight="1"/>
  <cols>
    <col min="1" max="1" width="2.7109375" style="4" customWidth="1"/>
    <col min="2" max="2" width="4.5703125" style="132" customWidth="1"/>
    <col min="3" max="11" width="4.28515625" style="4" customWidth="1"/>
    <col min="12" max="12" width="5.140625" style="133" customWidth="1"/>
    <col min="13" max="15" width="3.5703125" style="127" customWidth="1"/>
    <col min="16" max="16" width="4" style="127" customWidth="1"/>
    <col min="17" max="19" width="4.28515625" style="131" customWidth="1"/>
    <col min="20" max="21" width="5" style="132" customWidth="1"/>
    <col min="22" max="22" width="4" style="132" customWidth="1"/>
    <col min="23" max="23" width="1.28515625" style="4" customWidth="1"/>
    <col min="24" max="176" width="4.28515625" style="4" hidden="1" customWidth="1"/>
    <col min="177" max="257" width="0" style="4" hidden="1"/>
    <col min="258" max="258" width="4.5703125" style="4" hidden="1" customWidth="1"/>
    <col min="259" max="267" width="4.28515625" style="4" hidden="1" customWidth="1"/>
    <col min="268" max="268" width="7" style="4" hidden="1" customWidth="1"/>
    <col min="269" max="271" width="3.5703125" style="4" hidden="1" customWidth="1"/>
    <col min="272" max="272" width="4" style="4" hidden="1" customWidth="1"/>
    <col min="273" max="275" width="4.28515625" style="4" hidden="1" customWidth="1"/>
    <col min="276" max="277" width="5" style="4" hidden="1" customWidth="1"/>
    <col min="278" max="278" width="4" style="4" hidden="1" customWidth="1"/>
    <col min="279" max="279" width="1.28515625" style="4" hidden="1" customWidth="1"/>
    <col min="280" max="432" width="0" style="4" hidden="1" customWidth="1"/>
    <col min="433" max="513" width="0" style="4" hidden="1"/>
    <col min="514" max="514" width="4.5703125" style="4" hidden="1" customWidth="1"/>
    <col min="515" max="523" width="4.28515625" style="4" hidden="1" customWidth="1"/>
    <col min="524" max="524" width="7" style="4" hidden="1" customWidth="1"/>
    <col min="525" max="527" width="3.5703125" style="4" hidden="1" customWidth="1"/>
    <col min="528" max="528" width="4" style="4" hidden="1" customWidth="1"/>
    <col min="529" max="531" width="4.28515625" style="4" hidden="1" customWidth="1"/>
    <col min="532" max="533" width="5" style="4" hidden="1" customWidth="1"/>
    <col min="534" max="534" width="4" style="4" hidden="1" customWidth="1"/>
    <col min="535" max="535" width="1.28515625" style="4" hidden="1" customWidth="1"/>
    <col min="536" max="688" width="0" style="4" hidden="1" customWidth="1"/>
    <col min="689" max="769" width="0" style="4" hidden="1"/>
    <col min="770" max="770" width="4.5703125" style="4" hidden="1" customWidth="1"/>
    <col min="771" max="779" width="4.28515625" style="4" hidden="1" customWidth="1"/>
    <col min="780" max="780" width="7" style="4" hidden="1" customWidth="1"/>
    <col min="781" max="783" width="3.5703125" style="4" hidden="1" customWidth="1"/>
    <col min="784" max="784" width="4" style="4" hidden="1" customWidth="1"/>
    <col min="785" max="787" width="4.28515625" style="4" hidden="1" customWidth="1"/>
    <col min="788" max="789" width="5" style="4" hidden="1" customWidth="1"/>
    <col min="790" max="790" width="4" style="4" hidden="1" customWidth="1"/>
    <col min="791" max="791" width="1.28515625" style="4" hidden="1" customWidth="1"/>
    <col min="792" max="944" width="0" style="4" hidden="1" customWidth="1"/>
    <col min="945" max="1025" width="0" style="4" hidden="1"/>
    <col min="1026" max="1026" width="4.5703125" style="4" hidden="1" customWidth="1"/>
    <col min="1027" max="1035" width="4.28515625" style="4" hidden="1" customWidth="1"/>
    <col min="1036" max="1036" width="7" style="4" hidden="1" customWidth="1"/>
    <col min="1037" max="1039" width="3.5703125" style="4" hidden="1" customWidth="1"/>
    <col min="1040" max="1040" width="4" style="4" hidden="1" customWidth="1"/>
    <col min="1041" max="1043" width="4.28515625" style="4" hidden="1" customWidth="1"/>
    <col min="1044" max="1045" width="5" style="4" hidden="1" customWidth="1"/>
    <col min="1046" max="1046" width="4" style="4" hidden="1" customWidth="1"/>
    <col min="1047" max="1047" width="1.28515625" style="4" hidden="1" customWidth="1"/>
    <col min="1048" max="1200" width="0" style="4" hidden="1" customWidth="1"/>
    <col min="1201" max="1281" width="0" style="4" hidden="1"/>
    <col min="1282" max="1282" width="4.5703125" style="4" hidden="1" customWidth="1"/>
    <col min="1283" max="1291" width="4.28515625" style="4" hidden="1" customWidth="1"/>
    <col min="1292" max="1292" width="7" style="4" hidden="1" customWidth="1"/>
    <col min="1293" max="1295" width="3.5703125" style="4" hidden="1" customWidth="1"/>
    <col min="1296" max="1296" width="4" style="4" hidden="1" customWidth="1"/>
    <col min="1297" max="1299" width="4.28515625" style="4" hidden="1" customWidth="1"/>
    <col min="1300" max="1301" width="5" style="4" hidden="1" customWidth="1"/>
    <col min="1302" max="1302" width="4" style="4" hidden="1" customWidth="1"/>
    <col min="1303" max="1303" width="1.28515625" style="4" hidden="1" customWidth="1"/>
    <col min="1304" max="1456" width="0" style="4" hidden="1" customWidth="1"/>
    <col min="1457" max="1537" width="0" style="4" hidden="1"/>
    <col min="1538" max="1538" width="4.5703125" style="4" hidden="1" customWidth="1"/>
    <col min="1539" max="1547" width="4.28515625" style="4" hidden="1" customWidth="1"/>
    <col min="1548" max="1548" width="7" style="4" hidden="1" customWidth="1"/>
    <col min="1549" max="1551" width="3.5703125" style="4" hidden="1" customWidth="1"/>
    <col min="1552" max="1552" width="4" style="4" hidden="1" customWidth="1"/>
    <col min="1553" max="1555" width="4.28515625" style="4" hidden="1" customWidth="1"/>
    <col min="1556" max="1557" width="5" style="4" hidden="1" customWidth="1"/>
    <col min="1558" max="1558" width="4" style="4" hidden="1" customWidth="1"/>
    <col min="1559" max="1559" width="1.28515625" style="4" hidden="1" customWidth="1"/>
    <col min="1560" max="1712" width="0" style="4" hidden="1" customWidth="1"/>
    <col min="1713" max="1793" width="0" style="4" hidden="1"/>
    <col min="1794" max="1794" width="4.5703125" style="4" hidden="1" customWidth="1"/>
    <col min="1795" max="1803" width="4.28515625" style="4" hidden="1" customWidth="1"/>
    <col min="1804" max="1804" width="7" style="4" hidden="1" customWidth="1"/>
    <col min="1805" max="1807" width="3.5703125" style="4" hidden="1" customWidth="1"/>
    <col min="1808" max="1808" width="4" style="4" hidden="1" customWidth="1"/>
    <col min="1809" max="1811" width="4.28515625" style="4" hidden="1" customWidth="1"/>
    <col min="1812" max="1813" width="5" style="4" hidden="1" customWidth="1"/>
    <col min="1814" max="1814" width="4" style="4" hidden="1" customWidth="1"/>
    <col min="1815" max="1815" width="1.28515625" style="4" hidden="1" customWidth="1"/>
    <col min="1816" max="1968" width="0" style="4" hidden="1" customWidth="1"/>
    <col min="1969" max="2049" width="0" style="4" hidden="1"/>
    <col min="2050" max="2050" width="4.5703125" style="4" hidden="1" customWidth="1"/>
    <col min="2051" max="2059" width="4.28515625" style="4" hidden="1" customWidth="1"/>
    <col min="2060" max="2060" width="7" style="4" hidden="1" customWidth="1"/>
    <col min="2061" max="2063" width="3.5703125" style="4" hidden="1" customWidth="1"/>
    <col min="2064" max="2064" width="4" style="4" hidden="1" customWidth="1"/>
    <col min="2065" max="2067" width="4.28515625" style="4" hidden="1" customWidth="1"/>
    <col min="2068" max="2069" width="5" style="4" hidden="1" customWidth="1"/>
    <col min="2070" max="2070" width="4" style="4" hidden="1" customWidth="1"/>
    <col min="2071" max="2071" width="1.28515625" style="4" hidden="1" customWidth="1"/>
    <col min="2072" max="2224" width="0" style="4" hidden="1" customWidth="1"/>
    <col min="2225" max="2305" width="0" style="4" hidden="1"/>
    <col min="2306" max="2306" width="4.5703125" style="4" hidden="1" customWidth="1"/>
    <col min="2307" max="2315" width="4.28515625" style="4" hidden="1" customWidth="1"/>
    <col min="2316" max="2316" width="7" style="4" hidden="1" customWidth="1"/>
    <col min="2317" max="2319" width="3.5703125" style="4" hidden="1" customWidth="1"/>
    <col min="2320" max="2320" width="4" style="4" hidden="1" customWidth="1"/>
    <col min="2321" max="2323" width="4.28515625" style="4" hidden="1" customWidth="1"/>
    <col min="2324" max="2325" width="5" style="4" hidden="1" customWidth="1"/>
    <col min="2326" max="2326" width="4" style="4" hidden="1" customWidth="1"/>
    <col min="2327" max="2327" width="1.28515625" style="4" hidden="1" customWidth="1"/>
    <col min="2328" max="2480" width="0" style="4" hidden="1" customWidth="1"/>
    <col min="2481" max="2561" width="0" style="4" hidden="1"/>
    <col min="2562" max="2562" width="4.5703125" style="4" hidden="1" customWidth="1"/>
    <col min="2563" max="2571" width="4.28515625" style="4" hidden="1" customWidth="1"/>
    <col min="2572" max="2572" width="7" style="4" hidden="1" customWidth="1"/>
    <col min="2573" max="2575" width="3.5703125" style="4" hidden="1" customWidth="1"/>
    <col min="2576" max="2576" width="4" style="4" hidden="1" customWidth="1"/>
    <col min="2577" max="2579" width="4.28515625" style="4" hidden="1" customWidth="1"/>
    <col min="2580" max="2581" width="5" style="4" hidden="1" customWidth="1"/>
    <col min="2582" max="2582" width="4" style="4" hidden="1" customWidth="1"/>
    <col min="2583" max="2583" width="1.28515625" style="4" hidden="1" customWidth="1"/>
    <col min="2584" max="2736" width="0" style="4" hidden="1" customWidth="1"/>
    <col min="2737" max="2817" width="0" style="4" hidden="1"/>
    <col min="2818" max="2818" width="4.5703125" style="4" hidden="1" customWidth="1"/>
    <col min="2819" max="2827" width="4.28515625" style="4" hidden="1" customWidth="1"/>
    <col min="2828" max="2828" width="7" style="4" hidden="1" customWidth="1"/>
    <col min="2829" max="2831" width="3.5703125" style="4" hidden="1" customWidth="1"/>
    <col min="2832" max="2832" width="4" style="4" hidden="1" customWidth="1"/>
    <col min="2833" max="2835" width="4.28515625" style="4" hidden="1" customWidth="1"/>
    <col min="2836" max="2837" width="5" style="4" hidden="1" customWidth="1"/>
    <col min="2838" max="2838" width="4" style="4" hidden="1" customWidth="1"/>
    <col min="2839" max="2839" width="1.28515625" style="4" hidden="1" customWidth="1"/>
    <col min="2840" max="2992" width="0" style="4" hidden="1" customWidth="1"/>
    <col min="2993" max="3073" width="0" style="4" hidden="1"/>
    <col min="3074" max="3074" width="4.5703125" style="4" hidden="1" customWidth="1"/>
    <col min="3075" max="3083" width="4.28515625" style="4" hidden="1" customWidth="1"/>
    <col min="3084" max="3084" width="7" style="4" hidden="1" customWidth="1"/>
    <col min="3085" max="3087" width="3.5703125" style="4" hidden="1" customWidth="1"/>
    <col min="3088" max="3088" width="4" style="4" hidden="1" customWidth="1"/>
    <col min="3089" max="3091" width="4.28515625" style="4" hidden="1" customWidth="1"/>
    <col min="3092" max="3093" width="5" style="4" hidden="1" customWidth="1"/>
    <col min="3094" max="3094" width="4" style="4" hidden="1" customWidth="1"/>
    <col min="3095" max="3095" width="1.28515625" style="4" hidden="1" customWidth="1"/>
    <col min="3096" max="3248" width="0" style="4" hidden="1" customWidth="1"/>
    <col min="3249" max="3329" width="0" style="4" hidden="1"/>
    <col min="3330" max="3330" width="4.5703125" style="4" hidden="1" customWidth="1"/>
    <col min="3331" max="3339" width="4.28515625" style="4" hidden="1" customWidth="1"/>
    <col min="3340" max="3340" width="7" style="4" hidden="1" customWidth="1"/>
    <col min="3341" max="3343" width="3.5703125" style="4" hidden="1" customWidth="1"/>
    <col min="3344" max="3344" width="4" style="4" hidden="1" customWidth="1"/>
    <col min="3345" max="3347" width="4.28515625" style="4" hidden="1" customWidth="1"/>
    <col min="3348" max="3349" width="5" style="4" hidden="1" customWidth="1"/>
    <col min="3350" max="3350" width="4" style="4" hidden="1" customWidth="1"/>
    <col min="3351" max="3351" width="1.28515625" style="4" hidden="1" customWidth="1"/>
    <col min="3352" max="3504" width="0" style="4" hidden="1" customWidth="1"/>
    <col min="3505" max="3585" width="0" style="4" hidden="1"/>
    <col min="3586" max="3586" width="4.5703125" style="4" hidden="1" customWidth="1"/>
    <col min="3587" max="3595" width="4.28515625" style="4" hidden="1" customWidth="1"/>
    <col min="3596" max="3596" width="7" style="4" hidden="1" customWidth="1"/>
    <col min="3597" max="3599" width="3.5703125" style="4" hidden="1" customWidth="1"/>
    <col min="3600" max="3600" width="4" style="4" hidden="1" customWidth="1"/>
    <col min="3601" max="3603" width="4.28515625" style="4" hidden="1" customWidth="1"/>
    <col min="3604" max="3605" width="5" style="4" hidden="1" customWidth="1"/>
    <col min="3606" max="3606" width="4" style="4" hidden="1" customWidth="1"/>
    <col min="3607" max="3607" width="1.28515625" style="4" hidden="1" customWidth="1"/>
    <col min="3608" max="3760" width="0" style="4" hidden="1" customWidth="1"/>
    <col min="3761" max="3841" width="0" style="4" hidden="1"/>
    <col min="3842" max="3842" width="4.5703125" style="4" hidden="1" customWidth="1"/>
    <col min="3843" max="3851" width="4.28515625" style="4" hidden="1" customWidth="1"/>
    <col min="3852" max="3852" width="7" style="4" hidden="1" customWidth="1"/>
    <col min="3853" max="3855" width="3.5703125" style="4" hidden="1" customWidth="1"/>
    <col min="3856" max="3856" width="4" style="4" hidden="1" customWidth="1"/>
    <col min="3857" max="3859" width="4.28515625" style="4" hidden="1" customWidth="1"/>
    <col min="3860" max="3861" width="5" style="4" hidden="1" customWidth="1"/>
    <col min="3862" max="3862" width="4" style="4" hidden="1" customWidth="1"/>
    <col min="3863" max="3863" width="1.28515625" style="4" hidden="1" customWidth="1"/>
    <col min="3864" max="4016" width="0" style="4" hidden="1" customWidth="1"/>
    <col min="4017" max="4097" width="0" style="4" hidden="1"/>
    <col min="4098" max="4098" width="4.5703125" style="4" hidden="1" customWidth="1"/>
    <col min="4099" max="4107" width="4.28515625" style="4" hidden="1" customWidth="1"/>
    <col min="4108" max="4108" width="7" style="4" hidden="1" customWidth="1"/>
    <col min="4109" max="4111" width="3.5703125" style="4" hidden="1" customWidth="1"/>
    <col min="4112" max="4112" width="4" style="4" hidden="1" customWidth="1"/>
    <col min="4113" max="4115" width="4.28515625" style="4" hidden="1" customWidth="1"/>
    <col min="4116" max="4117" width="5" style="4" hidden="1" customWidth="1"/>
    <col min="4118" max="4118" width="4" style="4" hidden="1" customWidth="1"/>
    <col min="4119" max="4119" width="1.28515625" style="4" hidden="1" customWidth="1"/>
    <col min="4120" max="4272" width="0" style="4" hidden="1" customWidth="1"/>
    <col min="4273" max="4353" width="0" style="4" hidden="1"/>
    <col min="4354" max="4354" width="4.5703125" style="4" hidden="1" customWidth="1"/>
    <col min="4355" max="4363" width="4.28515625" style="4" hidden="1" customWidth="1"/>
    <col min="4364" max="4364" width="7" style="4" hidden="1" customWidth="1"/>
    <col min="4365" max="4367" width="3.5703125" style="4" hidden="1" customWidth="1"/>
    <col min="4368" max="4368" width="4" style="4" hidden="1" customWidth="1"/>
    <col min="4369" max="4371" width="4.28515625" style="4" hidden="1" customWidth="1"/>
    <col min="4372" max="4373" width="5" style="4" hidden="1" customWidth="1"/>
    <col min="4374" max="4374" width="4" style="4" hidden="1" customWidth="1"/>
    <col min="4375" max="4375" width="1.28515625" style="4" hidden="1" customWidth="1"/>
    <col min="4376" max="4528" width="0" style="4" hidden="1" customWidth="1"/>
    <col min="4529" max="4609" width="0" style="4" hidden="1"/>
    <col min="4610" max="4610" width="4.5703125" style="4" hidden="1" customWidth="1"/>
    <col min="4611" max="4619" width="4.28515625" style="4" hidden="1" customWidth="1"/>
    <col min="4620" max="4620" width="7" style="4" hidden="1" customWidth="1"/>
    <col min="4621" max="4623" width="3.5703125" style="4" hidden="1" customWidth="1"/>
    <col min="4624" max="4624" width="4" style="4" hidden="1" customWidth="1"/>
    <col min="4625" max="4627" width="4.28515625" style="4" hidden="1" customWidth="1"/>
    <col min="4628" max="4629" width="5" style="4" hidden="1" customWidth="1"/>
    <col min="4630" max="4630" width="4" style="4" hidden="1" customWidth="1"/>
    <col min="4631" max="4631" width="1.28515625" style="4" hidden="1" customWidth="1"/>
    <col min="4632" max="4784" width="0" style="4" hidden="1" customWidth="1"/>
    <col min="4785" max="4865" width="0" style="4" hidden="1"/>
    <col min="4866" max="4866" width="4.5703125" style="4" hidden="1" customWidth="1"/>
    <col min="4867" max="4875" width="4.28515625" style="4" hidden="1" customWidth="1"/>
    <col min="4876" max="4876" width="7" style="4" hidden="1" customWidth="1"/>
    <col min="4877" max="4879" width="3.5703125" style="4" hidden="1" customWidth="1"/>
    <col min="4880" max="4880" width="4" style="4" hidden="1" customWidth="1"/>
    <col min="4881" max="4883" width="4.28515625" style="4" hidden="1" customWidth="1"/>
    <col min="4884" max="4885" width="5" style="4" hidden="1" customWidth="1"/>
    <col min="4886" max="4886" width="4" style="4" hidden="1" customWidth="1"/>
    <col min="4887" max="4887" width="1.28515625" style="4" hidden="1" customWidth="1"/>
    <col min="4888" max="5040" width="0" style="4" hidden="1" customWidth="1"/>
    <col min="5041" max="5121" width="0" style="4" hidden="1"/>
    <col min="5122" max="5122" width="4.5703125" style="4" hidden="1" customWidth="1"/>
    <col min="5123" max="5131" width="4.28515625" style="4" hidden="1" customWidth="1"/>
    <col min="5132" max="5132" width="7" style="4" hidden="1" customWidth="1"/>
    <col min="5133" max="5135" width="3.5703125" style="4" hidden="1" customWidth="1"/>
    <col min="5136" max="5136" width="4" style="4" hidden="1" customWidth="1"/>
    <col min="5137" max="5139" width="4.28515625" style="4" hidden="1" customWidth="1"/>
    <col min="5140" max="5141" width="5" style="4" hidden="1" customWidth="1"/>
    <col min="5142" max="5142" width="4" style="4" hidden="1" customWidth="1"/>
    <col min="5143" max="5143" width="1.28515625" style="4" hidden="1" customWidth="1"/>
    <col min="5144" max="5296" width="0" style="4" hidden="1" customWidth="1"/>
    <col min="5297" max="5377" width="0" style="4" hidden="1"/>
    <col min="5378" max="5378" width="4.5703125" style="4" hidden="1" customWidth="1"/>
    <col min="5379" max="5387" width="4.28515625" style="4" hidden="1" customWidth="1"/>
    <col min="5388" max="5388" width="7" style="4" hidden="1" customWidth="1"/>
    <col min="5389" max="5391" width="3.5703125" style="4" hidden="1" customWidth="1"/>
    <col min="5392" max="5392" width="4" style="4" hidden="1" customWidth="1"/>
    <col min="5393" max="5395" width="4.28515625" style="4" hidden="1" customWidth="1"/>
    <col min="5396" max="5397" width="5" style="4" hidden="1" customWidth="1"/>
    <col min="5398" max="5398" width="4" style="4" hidden="1" customWidth="1"/>
    <col min="5399" max="5399" width="1.28515625" style="4" hidden="1" customWidth="1"/>
    <col min="5400" max="5552" width="0" style="4" hidden="1" customWidth="1"/>
    <col min="5553" max="5633" width="0" style="4" hidden="1"/>
    <col min="5634" max="5634" width="4.5703125" style="4" hidden="1" customWidth="1"/>
    <col min="5635" max="5643" width="4.28515625" style="4" hidden="1" customWidth="1"/>
    <col min="5644" max="5644" width="7" style="4" hidden="1" customWidth="1"/>
    <col min="5645" max="5647" width="3.5703125" style="4" hidden="1" customWidth="1"/>
    <col min="5648" max="5648" width="4" style="4" hidden="1" customWidth="1"/>
    <col min="5649" max="5651" width="4.28515625" style="4" hidden="1" customWidth="1"/>
    <col min="5652" max="5653" width="5" style="4" hidden="1" customWidth="1"/>
    <col min="5654" max="5654" width="4" style="4" hidden="1" customWidth="1"/>
    <col min="5655" max="5655" width="1.28515625" style="4" hidden="1" customWidth="1"/>
    <col min="5656" max="5808" width="0" style="4" hidden="1" customWidth="1"/>
    <col min="5809" max="5889" width="0" style="4" hidden="1"/>
    <col min="5890" max="5890" width="4.5703125" style="4" hidden="1" customWidth="1"/>
    <col min="5891" max="5899" width="4.28515625" style="4" hidden="1" customWidth="1"/>
    <col min="5900" max="5900" width="7" style="4" hidden="1" customWidth="1"/>
    <col min="5901" max="5903" width="3.5703125" style="4" hidden="1" customWidth="1"/>
    <col min="5904" max="5904" width="4" style="4" hidden="1" customWidth="1"/>
    <col min="5905" max="5907" width="4.28515625" style="4" hidden="1" customWidth="1"/>
    <col min="5908" max="5909" width="5" style="4" hidden="1" customWidth="1"/>
    <col min="5910" max="5910" width="4" style="4" hidden="1" customWidth="1"/>
    <col min="5911" max="5911" width="1.28515625" style="4" hidden="1" customWidth="1"/>
    <col min="5912" max="6064" width="0" style="4" hidden="1" customWidth="1"/>
    <col min="6065" max="6145" width="0" style="4" hidden="1"/>
    <col min="6146" max="6146" width="4.5703125" style="4" hidden="1" customWidth="1"/>
    <col min="6147" max="6155" width="4.28515625" style="4" hidden="1" customWidth="1"/>
    <col min="6156" max="6156" width="7" style="4" hidden="1" customWidth="1"/>
    <col min="6157" max="6159" width="3.5703125" style="4" hidden="1" customWidth="1"/>
    <col min="6160" max="6160" width="4" style="4" hidden="1" customWidth="1"/>
    <col min="6161" max="6163" width="4.28515625" style="4" hidden="1" customWidth="1"/>
    <col min="6164" max="6165" width="5" style="4" hidden="1" customWidth="1"/>
    <col min="6166" max="6166" width="4" style="4" hidden="1" customWidth="1"/>
    <col min="6167" max="6167" width="1.28515625" style="4" hidden="1" customWidth="1"/>
    <col min="6168" max="6320" width="0" style="4" hidden="1" customWidth="1"/>
    <col min="6321" max="6401" width="0" style="4" hidden="1"/>
    <col min="6402" max="6402" width="4.5703125" style="4" hidden="1" customWidth="1"/>
    <col min="6403" max="6411" width="4.28515625" style="4" hidden="1" customWidth="1"/>
    <col min="6412" max="6412" width="7" style="4" hidden="1" customWidth="1"/>
    <col min="6413" max="6415" width="3.5703125" style="4" hidden="1" customWidth="1"/>
    <col min="6416" max="6416" width="4" style="4" hidden="1" customWidth="1"/>
    <col min="6417" max="6419" width="4.28515625" style="4" hidden="1" customWidth="1"/>
    <col min="6420" max="6421" width="5" style="4" hidden="1" customWidth="1"/>
    <col min="6422" max="6422" width="4" style="4" hidden="1" customWidth="1"/>
    <col min="6423" max="6423" width="1.28515625" style="4" hidden="1" customWidth="1"/>
    <col min="6424" max="6576" width="0" style="4" hidden="1" customWidth="1"/>
    <col min="6577" max="6657" width="0" style="4" hidden="1"/>
    <col min="6658" max="6658" width="4.5703125" style="4" hidden="1" customWidth="1"/>
    <col min="6659" max="6667" width="4.28515625" style="4" hidden="1" customWidth="1"/>
    <col min="6668" max="6668" width="7" style="4" hidden="1" customWidth="1"/>
    <col min="6669" max="6671" width="3.5703125" style="4" hidden="1" customWidth="1"/>
    <col min="6672" max="6672" width="4" style="4" hidden="1" customWidth="1"/>
    <col min="6673" max="6675" width="4.28515625" style="4" hidden="1" customWidth="1"/>
    <col min="6676" max="6677" width="5" style="4" hidden="1" customWidth="1"/>
    <col min="6678" max="6678" width="4" style="4" hidden="1" customWidth="1"/>
    <col min="6679" max="6679" width="1.28515625" style="4" hidden="1" customWidth="1"/>
    <col min="6680" max="6832" width="0" style="4" hidden="1" customWidth="1"/>
    <col min="6833" max="6913" width="0" style="4" hidden="1"/>
    <col min="6914" max="6914" width="4.5703125" style="4" hidden="1" customWidth="1"/>
    <col min="6915" max="6923" width="4.28515625" style="4" hidden="1" customWidth="1"/>
    <col min="6924" max="6924" width="7" style="4" hidden="1" customWidth="1"/>
    <col min="6925" max="6927" width="3.5703125" style="4" hidden="1" customWidth="1"/>
    <col min="6928" max="6928" width="4" style="4" hidden="1" customWidth="1"/>
    <col min="6929" max="6931" width="4.28515625" style="4" hidden="1" customWidth="1"/>
    <col min="6932" max="6933" width="5" style="4" hidden="1" customWidth="1"/>
    <col min="6934" max="6934" width="4" style="4" hidden="1" customWidth="1"/>
    <col min="6935" max="6935" width="1.28515625" style="4" hidden="1" customWidth="1"/>
    <col min="6936" max="7088" width="0" style="4" hidden="1" customWidth="1"/>
    <col min="7089" max="7169" width="0" style="4" hidden="1"/>
    <col min="7170" max="7170" width="4.5703125" style="4" hidden="1" customWidth="1"/>
    <col min="7171" max="7179" width="4.28515625" style="4" hidden="1" customWidth="1"/>
    <col min="7180" max="7180" width="7" style="4" hidden="1" customWidth="1"/>
    <col min="7181" max="7183" width="3.5703125" style="4" hidden="1" customWidth="1"/>
    <col min="7184" max="7184" width="4" style="4" hidden="1" customWidth="1"/>
    <col min="7185" max="7187" width="4.28515625" style="4" hidden="1" customWidth="1"/>
    <col min="7188" max="7189" width="5" style="4" hidden="1" customWidth="1"/>
    <col min="7190" max="7190" width="4" style="4" hidden="1" customWidth="1"/>
    <col min="7191" max="7191" width="1.28515625" style="4" hidden="1" customWidth="1"/>
    <col min="7192" max="7344" width="0" style="4" hidden="1" customWidth="1"/>
    <col min="7345" max="7425" width="0" style="4" hidden="1"/>
    <col min="7426" max="7426" width="4.5703125" style="4" hidden="1" customWidth="1"/>
    <col min="7427" max="7435" width="4.28515625" style="4" hidden="1" customWidth="1"/>
    <col min="7436" max="7436" width="7" style="4" hidden="1" customWidth="1"/>
    <col min="7437" max="7439" width="3.5703125" style="4" hidden="1" customWidth="1"/>
    <col min="7440" max="7440" width="4" style="4" hidden="1" customWidth="1"/>
    <col min="7441" max="7443" width="4.28515625" style="4" hidden="1" customWidth="1"/>
    <col min="7444" max="7445" width="5" style="4" hidden="1" customWidth="1"/>
    <col min="7446" max="7446" width="4" style="4" hidden="1" customWidth="1"/>
    <col min="7447" max="7447" width="1.28515625" style="4" hidden="1" customWidth="1"/>
    <col min="7448" max="7600" width="0" style="4" hidden="1" customWidth="1"/>
    <col min="7601" max="7681" width="0" style="4" hidden="1"/>
    <col min="7682" max="7682" width="4.5703125" style="4" hidden="1" customWidth="1"/>
    <col min="7683" max="7691" width="4.28515625" style="4" hidden="1" customWidth="1"/>
    <col min="7692" max="7692" width="7" style="4" hidden="1" customWidth="1"/>
    <col min="7693" max="7695" width="3.5703125" style="4" hidden="1" customWidth="1"/>
    <col min="7696" max="7696" width="4" style="4" hidden="1" customWidth="1"/>
    <col min="7697" max="7699" width="4.28515625" style="4" hidden="1" customWidth="1"/>
    <col min="7700" max="7701" width="5" style="4" hidden="1" customWidth="1"/>
    <col min="7702" max="7702" width="4" style="4" hidden="1" customWidth="1"/>
    <col min="7703" max="7703" width="1.28515625" style="4" hidden="1" customWidth="1"/>
    <col min="7704" max="7856" width="0" style="4" hidden="1" customWidth="1"/>
    <col min="7857" max="7937" width="0" style="4" hidden="1"/>
    <col min="7938" max="7938" width="4.5703125" style="4" hidden="1" customWidth="1"/>
    <col min="7939" max="7947" width="4.28515625" style="4" hidden="1" customWidth="1"/>
    <col min="7948" max="7948" width="7" style="4" hidden="1" customWidth="1"/>
    <col min="7949" max="7951" width="3.5703125" style="4" hidden="1" customWidth="1"/>
    <col min="7952" max="7952" width="4" style="4" hidden="1" customWidth="1"/>
    <col min="7953" max="7955" width="4.28515625" style="4" hidden="1" customWidth="1"/>
    <col min="7956" max="7957" width="5" style="4" hidden="1" customWidth="1"/>
    <col min="7958" max="7958" width="4" style="4" hidden="1" customWidth="1"/>
    <col min="7959" max="7959" width="1.28515625" style="4" hidden="1" customWidth="1"/>
    <col min="7960" max="8112" width="0" style="4" hidden="1" customWidth="1"/>
    <col min="8113" max="8193" width="0" style="4" hidden="1"/>
    <col min="8194" max="8194" width="4.5703125" style="4" hidden="1" customWidth="1"/>
    <col min="8195" max="8203" width="4.28515625" style="4" hidden="1" customWidth="1"/>
    <col min="8204" max="8204" width="7" style="4" hidden="1" customWidth="1"/>
    <col min="8205" max="8207" width="3.5703125" style="4" hidden="1" customWidth="1"/>
    <col min="8208" max="8208" width="4" style="4" hidden="1" customWidth="1"/>
    <col min="8209" max="8211" width="4.28515625" style="4" hidden="1" customWidth="1"/>
    <col min="8212" max="8213" width="5" style="4" hidden="1" customWidth="1"/>
    <col min="8214" max="8214" width="4" style="4" hidden="1" customWidth="1"/>
    <col min="8215" max="8215" width="1.28515625" style="4" hidden="1" customWidth="1"/>
    <col min="8216" max="8368" width="0" style="4" hidden="1" customWidth="1"/>
    <col min="8369" max="8449" width="0" style="4" hidden="1"/>
    <col min="8450" max="8450" width="4.5703125" style="4" hidden="1" customWidth="1"/>
    <col min="8451" max="8459" width="4.28515625" style="4" hidden="1" customWidth="1"/>
    <col min="8460" max="8460" width="7" style="4" hidden="1" customWidth="1"/>
    <col min="8461" max="8463" width="3.5703125" style="4" hidden="1" customWidth="1"/>
    <col min="8464" max="8464" width="4" style="4" hidden="1" customWidth="1"/>
    <col min="8465" max="8467" width="4.28515625" style="4" hidden="1" customWidth="1"/>
    <col min="8468" max="8469" width="5" style="4" hidden="1" customWidth="1"/>
    <col min="8470" max="8470" width="4" style="4" hidden="1" customWidth="1"/>
    <col min="8471" max="8471" width="1.28515625" style="4" hidden="1" customWidth="1"/>
    <col min="8472" max="8624" width="0" style="4" hidden="1" customWidth="1"/>
    <col min="8625" max="8705" width="0" style="4" hidden="1"/>
    <col min="8706" max="8706" width="4.5703125" style="4" hidden="1" customWidth="1"/>
    <col min="8707" max="8715" width="4.28515625" style="4" hidden="1" customWidth="1"/>
    <col min="8716" max="8716" width="7" style="4" hidden="1" customWidth="1"/>
    <col min="8717" max="8719" width="3.5703125" style="4" hidden="1" customWidth="1"/>
    <col min="8720" max="8720" width="4" style="4" hidden="1" customWidth="1"/>
    <col min="8721" max="8723" width="4.28515625" style="4" hidden="1" customWidth="1"/>
    <col min="8724" max="8725" width="5" style="4" hidden="1" customWidth="1"/>
    <col min="8726" max="8726" width="4" style="4" hidden="1" customWidth="1"/>
    <col min="8727" max="8727" width="1.28515625" style="4" hidden="1" customWidth="1"/>
    <col min="8728" max="8880" width="0" style="4" hidden="1" customWidth="1"/>
    <col min="8881" max="8961" width="0" style="4" hidden="1"/>
    <col min="8962" max="8962" width="4.5703125" style="4" hidden="1" customWidth="1"/>
    <col min="8963" max="8971" width="4.28515625" style="4" hidden="1" customWidth="1"/>
    <col min="8972" max="8972" width="7" style="4" hidden="1" customWidth="1"/>
    <col min="8973" max="8975" width="3.5703125" style="4" hidden="1" customWidth="1"/>
    <col min="8976" max="8976" width="4" style="4" hidden="1" customWidth="1"/>
    <col min="8977" max="8979" width="4.28515625" style="4" hidden="1" customWidth="1"/>
    <col min="8980" max="8981" width="5" style="4" hidden="1" customWidth="1"/>
    <col min="8982" max="8982" width="4" style="4" hidden="1" customWidth="1"/>
    <col min="8983" max="8983" width="1.28515625" style="4" hidden="1" customWidth="1"/>
    <col min="8984" max="9136" width="0" style="4" hidden="1" customWidth="1"/>
    <col min="9137" max="9217" width="0" style="4" hidden="1"/>
    <col min="9218" max="9218" width="4.5703125" style="4" hidden="1" customWidth="1"/>
    <col min="9219" max="9227" width="4.28515625" style="4" hidden="1" customWidth="1"/>
    <col min="9228" max="9228" width="7" style="4" hidden="1" customWidth="1"/>
    <col min="9229" max="9231" width="3.5703125" style="4" hidden="1" customWidth="1"/>
    <col min="9232" max="9232" width="4" style="4" hidden="1" customWidth="1"/>
    <col min="9233" max="9235" width="4.28515625" style="4" hidden="1" customWidth="1"/>
    <col min="9236" max="9237" width="5" style="4" hidden="1" customWidth="1"/>
    <col min="9238" max="9238" width="4" style="4" hidden="1" customWidth="1"/>
    <col min="9239" max="9239" width="1.28515625" style="4" hidden="1" customWidth="1"/>
    <col min="9240" max="9392" width="0" style="4" hidden="1" customWidth="1"/>
    <col min="9393" max="9473" width="0" style="4" hidden="1"/>
    <col min="9474" max="9474" width="4.5703125" style="4" hidden="1" customWidth="1"/>
    <col min="9475" max="9483" width="4.28515625" style="4" hidden="1" customWidth="1"/>
    <col min="9484" max="9484" width="7" style="4" hidden="1" customWidth="1"/>
    <col min="9485" max="9487" width="3.5703125" style="4" hidden="1" customWidth="1"/>
    <col min="9488" max="9488" width="4" style="4" hidden="1" customWidth="1"/>
    <col min="9489" max="9491" width="4.28515625" style="4" hidden="1" customWidth="1"/>
    <col min="9492" max="9493" width="5" style="4" hidden="1" customWidth="1"/>
    <col min="9494" max="9494" width="4" style="4" hidden="1" customWidth="1"/>
    <col min="9495" max="9495" width="1.28515625" style="4" hidden="1" customWidth="1"/>
    <col min="9496" max="9648" width="0" style="4" hidden="1" customWidth="1"/>
    <col min="9649" max="9729" width="0" style="4" hidden="1"/>
    <col min="9730" max="9730" width="4.5703125" style="4" hidden="1" customWidth="1"/>
    <col min="9731" max="9739" width="4.28515625" style="4" hidden="1" customWidth="1"/>
    <col min="9740" max="9740" width="7" style="4" hidden="1" customWidth="1"/>
    <col min="9741" max="9743" width="3.5703125" style="4" hidden="1" customWidth="1"/>
    <col min="9744" max="9744" width="4" style="4" hidden="1" customWidth="1"/>
    <col min="9745" max="9747" width="4.28515625" style="4" hidden="1" customWidth="1"/>
    <col min="9748" max="9749" width="5" style="4" hidden="1" customWidth="1"/>
    <col min="9750" max="9750" width="4" style="4" hidden="1" customWidth="1"/>
    <col min="9751" max="9751" width="1.28515625" style="4" hidden="1" customWidth="1"/>
    <col min="9752" max="9904" width="0" style="4" hidden="1" customWidth="1"/>
    <col min="9905" max="9985" width="0" style="4" hidden="1"/>
    <col min="9986" max="9986" width="4.5703125" style="4" hidden="1" customWidth="1"/>
    <col min="9987" max="9995" width="4.28515625" style="4" hidden="1" customWidth="1"/>
    <col min="9996" max="9996" width="7" style="4" hidden="1" customWidth="1"/>
    <col min="9997" max="9999" width="3.5703125" style="4" hidden="1" customWidth="1"/>
    <col min="10000" max="10000" width="4" style="4" hidden="1" customWidth="1"/>
    <col min="10001" max="10003" width="4.28515625" style="4" hidden="1" customWidth="1"/>
    <col min="10004" max="10005" width="5" style="4" hidden="1" customWidth="1"/>
    <col min="10006" max="10006" width="4" style="4" hidden="1" customWidth="1"/>
    <col min="10007" max="10007" width="1.28515625" style="4" hidden="1" customWidth="1"/>
    <col min="10008" max="10160" width="0" style="4" hidden="1" customWidth="1"/>
    <col min="10161" max="10241" width="0" style="4" hidden="1"/>
    <col min="10242" max="10242" width="4.5703125" style="4" hidden="1" customWidth="1"/>
    <col min="10243" max="10251" width="4.28515625" style="4" hidden="1" customWidth="1"/>
    <col min="10252" max="10252" width="7" style="4" hidden="1" customWidth="1"/>
    <col min="10253" max="10255" width="3.5703125" style="4" hidden="1" customWidth="1"/>
    <col min="10256" max="10256" width="4" style="4" hidden="1" customWidth="1"/>
    <col min="10257" max="10259" width="4.28515625" style="4" hidden="1" customWidth="1"/>
    <col min="10260" max="10261" width="5" style="4" hidden="1" customWidth="1"/>
    <col min="10262" max="10262" width="4" style="4" hidden="1" customWidth="1"/>
    <col min="10263" max="10263" width="1.28515625" style="4" hidden="1" customWidth="1"/>
    <col min="10264" max="10416" width="0" style="4" hidden="1" customWidth="1"/>
    <col min="10417" max="10497" width="0" style="4" hidden="1"/>
    <col min="10498" max="10498" width="4.5703125" style="4" hidden="1" customWidth="1"/>
    <col min="10499" max="10507" width="4.28515625" style="4" hidden="1" customWidth="1"/>
    <col min="10508" max="10508" width="7" style="4" hidden="1" customWidth="1"/>
    <col min="10509" max="10511" width="3.5703125" style="4" hidden="1" customWidth="1"/>
    <col min="10512" max="10512" width="4" style="4" hidden="1" customWidth="1"/>
    <col min="10513" max="10515" width="4.28515625" style="4" hidden="1" customWidth="1"/>
    <col min="10516" max="10517" width="5" style="4" hidden="1" customWidth="1"/>
    <col min="10518" max="10518" width="4" style="4" hidden="1" customWidth="1"/>
    <col min="10519" max="10519" width="1.28515625" style="4" hidden="1" customWidth="1"/>
    <col min="10520" max="10672" width="0" style="4" hidden="1" customWidth="1"/>
    <col min="10673" max="10753" width="0" style="4" hidden="1"/>
    <col min="10754" max="10754" width="4.5703125" style="4" hidden="1" customWidth="1"/>
    <col min="10755" max="10763" width="4.28515625" style="4" hidden="1" customWidth="1"/>
    <col min="10764" max="10764" width="7" style="4" hidden="1" customWidth="1"/>
    <col min="10765" max="10767" width="3.5703125" style="4" hidden="1" customWidth="1"/>
    <col min="10768" max="10768" width="4" style="4" hidden="1" customWidth="1"/>
    <col min="10769" max="10771" width="4.28515625" style="4" hidden="1" customWidth="1"/>
    <col min="10772" max="10773" width="5" style="4" hidden="1" customWidth="1"/>
    <col min="10774" max="10774" width="4" style="4" hidden="1" customWidth="1"/>
    <col min="10775" max="10775" width="1.28515625" style="4" hidden="1" customWidth="1"/>
    <col min="10776" max="10928" width="0" style="4" hidden="1" customWidth="1"/>
    <col min="10929" max="11009" width="0" style="4" hidden="1"/>
    <col min="11010" max="11010" width="4.5703125" style="4" hidden="1" customWidth="1"/>
    <col min="11011" max="11019" width="4.28515625" style="4" hidden="1" customWidth="1"/>
    <col min="11020" max="11020" width="7" style="4" hidden="1" customWidth="1"/>
    <col min="11021" max="11023" width="3.5703125" style="4" hidden="1" customWidth="1"/>
    <col min="11024" max="11024" width="4" style="4" hidden="1" customWidth="1"/>
    <col min="11025" max="11027" width="4.28515625" style="4" hidden="1" customWidth="1"/>
    <col min="11028" max="11029" width="5" style="4" hidden="1" customWidth="1"/>
    <col min="11030" max="11030" width="4" style="4" hidden="1" customWidth="1"/>
    <col min="11031" max="11031" width="1.28515625" style="4" hidden="1" customWidth="1"/>
    <col min="11032" max="11184" width="0" style="4" hidden="1" customWidth="1"/>
    <col min="11185" max="11265" width="0" style="4" hidden="1"/>
    <col min="11266" max="11266" width="4.5703125" style="4" hidden="1" customWidth="1"/>
    <col min="11267" max="11275" width="4.28515625" style="4" hidden="1" customWidth="1"/>
    <col min="11276" max="11276" width="7" style="4" hidden="1" customWidth="1"/>
    <col min="11277" max="11279" width="3.5703125" style="4" hidden="1" customWidth="1"/>
    <col min="11280" max="11280" width="4" style="4" hidden="1" customWidth="1"/>
    <col min="11281" max="11283" width="4.28515625" style="4" hidden="1" customWidth="1"/>
    <col min="11284" max="11285" width="5" style="4" hidden="1" customWidth="1"/>
    <col min="11286" max="11286" width="4" style="4" hidden="1" customWidth="1"/>
    <col min="11287" max="11287" width="1.28515625" style="4" hidden="1" customWidth="1"/>
    <col min="11288" max="11440" width="0" style="4" hidden="1" customWidth="1"/>
    <col min="11441" max="11521" width="0" style="4" hidden="1"/>
    <col min="11522" max="11522" width="4.5703125" style="4" hidden="1" customWidth="1"/>
    <col min="11523" max="11531" width="4.28515625" style="4" hidden="1" customWidth="1"/>
    <col min="11532" max="11532" width="7" style="4" hidden="1" customWidth="1"/>
    <col min="11533" max="11535" width="3.5703125" style="4" hidden="1" customWidth="1"/>
    <col min="11536" max="11536" width="4" style="4" hidden="1" customWidth="1"/>
    <col min="11537" max="11539" width="4.28515625" style="4" hidden="1" customWidth="1"/>
    <col min="11540" max="11541" width="5" style="4" hidden="1" customWidth="1"/>
    <col min="11542" max="11542" width="4" style="4" hidden="1" customWidth="1"/>
    <col min="11543" max="11543" width="1.28515625" style="4" hidden="1" customWidth="1"/>
    <col min="11544" max="11696" width="0" style="4" hidden="1" customWidth="1"/>
    <col min="11697" max="11777" width="0" style="4" hidden="1"/>
    <col min="11778" max="11778" width="4.5703125" style="4" hidden="1" customWidth="1"/>
    <col min="11779" max="11787" width="4.28515625" style="4" hidden="1" customWidth="1"/>
    <col min="11788" max="11788" width="7" style="4" hidden="1" customWidth="1"/>
    <col min="11789" max="11791" width="3.5703125" style="4" hidden="1" customWidth="1"/>
    <col min="11792" max="11792" width="4" style="4" hidden="1" customWidth="1"/>
    <col min="11793" max="11795" width="4.28515625" style="4" hidden="1" customWidth="1"/>
    <col min="11796" max="11797" width="5" style="4" hidden="1" customWidth="1"/>
    <col min="11798" max="11798" width="4" style="4" hidden="1" customWidth="1"/>
    <col min="11799" max="11799" width="1.28515625" style="4" hidden="1" customWidth="1"/>
    <col min="11800" max="11952" width="0" style="4" hidden="1" customWidth="1"/>
    <col min="11953" max="12033" width="0" style="4" hidden="1"/>
    <col min="12034" max="12034" width="4.5703125" style="4" hidden="1" customWidth="1"/>
    <col min="12035" max="12043" width="4.28515625" style="4" hidden="1" customWidth="1"/>
    <col min="12044" max="12044" width="7" style="4" hidden="1" customWidth="1"/>
    <col min="12045" max="12047" width="3.5703125" style="4" hidden="1" customWidth="1"/>
    <col min="12048" max="12048" width="4" style="4" hidden="1" customWidth="1"/>
    <col min="12049" max="12051" width="4.28515625" style="4" hidden="1" customWidth="1"/>
    <col min="12052" max="12053" width="5" style="4" hidden="1" customWidth="1"/>
    <col min="12054" max="12054" width="4" style="4" hidden="1" customWidth="1"/>
    <col min="12055" max="12055" width="1.28515625" style="4" hidden="1" customWidth="1"/>
    <col min="12056" max="12208" width="0" style="4" hidden="1" customWidth="1"/>
    <col min="12209" max="12289" width="0" style="4" hidden="1"/>
    <col min="12290" max="12290" width="4.5703125" style="4" hidden="1" customWidth="1"/>
    <col min="12291" max="12299" width="4.28515625" style="4" hidden="1" customWidth="1"/>
    <col min="12300" max="12300" width="7" style="4" hidden="1" customWidth="1"/>
    <col min="12301" max="12303" width="3.5703125" style="4" hidden="1" customWidth="1"/>
    <col min="12304" max="12304" width="4" style="4" hidden="1" customWidth="1"/>
    <col min="12305" max="12307" width="4.28515625" style="4" hidden="1" customWidth="1"/>
    <col min="12308" max="12309" width="5" style="4" hidden="1" customWidth="1"/>
    <col min="12310" max="12310" width="4" style="4" hidden="1" customWidth="1"/>
    <col min="12311" max="12311" width="1.28515625" style="4" hidden="1" customWidth="1"/>
    <col min="12312" max="12464" width="0" style="4" hidden="1" customWidth="1"/>
    <col min="12465" max="12545" width="0" style="4" hidden="1"/>
    <col min="12546" max="12546" width="4.5703125" style="4" hidden="1" customWidth="1"/>
    <col min="12547" max="12555" width="4.28515625" style="4" hidden="1" customWidth="1"/>
    <col min="12556" max="12556" width="7" style="4" hidden="1" customWidth="1"/>
    <col min="12557" max="12559" width="3.5703125" style="4" hidden="1" customWidth="1"/>
    <col min="12560" max="12560" width="4" style="4" hidden="1" customWidth="1"/>
    <col min="12561" max="12563" width="4.28515625" style="4" hidden="1" customWidth="1"/>
    <col min="12564" max="12565" width="5" style="4" hidden="1" customWidth="1"/>
    <col min="12566" max="12566" width="4" style="4" hidden="1" customWidth="1"/>
    <col min="12567" max="12567" width="1.28515625" style="4" hidden="1" customWidth="1"/>
    <col min="12568" max="12720" width="0" style="4" hidden="1" customWidth="1"/>
    <col min="12721" max="12801" width="0" style="4" hidden="1"/>
    <col min="12802" max="12802" width="4.5703125" style="4" hidden="1" customWidth="1"/>
    <col min="12803" max="12811" width="4.28515625" style="4" hidden="1" customWidth="1"/>
    <col min="12812" max="12812" width="7" style="4" hidden="1" customWidth="1"/>
    <col min="12813" max="12815" width="3.5703125" style="4" hidden="1" customWidth="1"/>
    <col min="12816" max="12816" width="4" style="4" hidden="1" customWidth="1"/>
    <col min="12817" max="12819" width="4.28515625" style="4" hidden="1" customWidth="1"/>
    <col min="12820" max="12821" width="5" style="4" hidden="1" customWidth="1"/>
    <col min="12822" max="12822" width="4" style="4" hidden="1" customWidth="1"/>
    <col min="12823" max="12823" width="1.28515625" style="4" hidden="1" customWidth="1"/>
    <col min="12824" max="12976" width="0" style="4" hidden="1" customWidth="1"/>
    <col min="12977" max="13057" width="0" style="4" hidden="1"/>
    <col min="13058" max="13058" width="4.5703125" style="4" hidden="1" customWidth="1"/>
    <col min="13059" max="13067" width="4.28515625" style="4" hidden="1" customWidth="1"/>
    <col min="13068" max="13068" width="7" style="4" hidden="1" customWidth="1"/>
    <col min="13069" max="13071" width="3.5703125" style="4" hidden="1" customWidth="1"/>
    <col min="13072" max="13072" width="4" style="4" hidden="1" customWidth="1"/>
    <col min="13073" max="13075" width="4.28515625" style="4" hidden="1" customWidth="1"/>
    <col min="13076" max="13077" width="5" style="4" hidden="1" customWidth="1"/>
    <col min="13078" max="13078" width="4" style="4" hidden="1" customWidth="1"/>
    <col min="13079" max="13079" width="1.28515625" style="4" hidden="1" customWidth="1"/>
    <col min="13080" max="13232" width="0" style="4" hidden="1" customWidth="1"/>
    <col min="13233" max="13313" width="0" style="4" hidden="1"/>
    <col min="13314" max="13314" width="4.5703125" style="4" hidden="1" customWidth="1"/>
    <col min="13315" max="13323" width="4.28515625" style="4" hidden="1" customWidth="1"/>
    <col min="13324" max="13324" width="7" style="4" hidden="1" customWidth="1"/>
    <col min="13325" max="13327" width="3.5703125" style="4" hidden="1" customWidth="1"/>
    <col min="13328" max="13328" width="4" style="4" hidden="1" customWidth="1"/>
    <col min="13329" max="13331" width="4.28515625" style="4" hidden="1" customWidth="1"/>
    <col min="13332" max="13333" width="5" style="4" hidden="1" customWidth="1"/>
    <col min="13334" max="13334" width="4" style="4" hidden="1" customWidth="1"/>
    <col min="13335" max="13335" width="1.28515625" style="4" hidden="1" customWidth="1"/>
    <col min="13336" max="13488" width="0" style="4" hidden="1" customWidth="1"/>
    <col min="13489" max="13569" width="0" style="4" hidden="1"/>
    <col min="13570" max="13570" width="4.5703125" style="4" hidden="1" customWidth="1"/>
    <col min="13571" max="13579" width="4.28515625" style="4" hidden="1" customWidth="1"/>
    <col min="13580" max="13580" width="7" style="4" hidden="1" customWidth="1"/>
    <col min="13581" max="13583" width="3.5703125" style="4" hidden="1" customWidth="1"/>
    <col min="13584" max="13584" width="4" style="4" hidden="1" customWidth="1"/>
    <col min="13585" max="13587" width="4.28515625" style="4" hidden="1" customWidth="1"/>
    <col min="13588" max="13589" width="5" style="4" hidden="1" customWidth="1"/>
    <col min="13590" max="13590" width="4" style="4" hidden="1" customWidth="1"/>
    <col min="13591" max="13591" width="1.28515625" style="4" hidden="1" customWidth="1"/>
    <col min="13592" max="13744" width="0" style="4" hidden="1" customWidth="1"/>
    <col min="13745" max="13825" width="0" style="4" hidden="1"/>
    <col min="13826" max="13826" width="4.5703125" style="4" hidden="1" customWidth="1"/>
    <col min="13827" max="13835" width="4.28515625" style="4" hidden="1" customWidth="1"/>
    <col min="13836" max="13836" width="7" style="4" hidden="1" customWidth="1"/>
    <col min="13837" max="13839" width="3.5703125" style="4" hidden="1" customWidth="1"/>
    <col min="13840" max="13840" width="4" style="4" hidden="1" customWidth="1"/>
    <col min="13841" max="13843" width="4.28515625" style="4" hidden="1" customWidth="1"/>
    <col min="13844" max="13845" width="5" style="4" hidden="1" customWidth="1"/>
    <col min="13846" max="13846" width="4" style="4" hidden="1" customWidth="1"/>
    <col min="13847" max="13847" width="1.28515625" style="4" hidden="1" customWidth="1"/>
    <col min="13848" max="14000" width="0" style="4" hidden="1" customWidth="1"/>
    <col min="14001" max="14081" width="0" style="4" hidden="1"/>
    <col min="14082" max="14082" width="4.5703125" style="4" hidden="1" customWidth="1"/>
    <col min="14083" max="14091" width="4.28515625" style="4" hidden="1" customWidth="1"/>
    <col min="14092" max="14092" width="7" style="4" hidden="1" customWidth="1"/>
    <col min="14093" max="14095" width="3.5703125" style="4" hidden="1" customWidth="1"/>
    <col min="14096" max="14096" width="4" style="4" hidden="1" customWidth="1"/>
    <col min="14097" max="14099" width="4.28515625" style="4" hidden="1" customWidth="1"/>
    <col min="14100" max="14101" width="5" style="4" hidden="1" customWidth="1"/>
    <col min="14102" max="14102" width="4" style="4" hidden="1" customWidth="1"/>
    <col min="14103" max="14103" width="1.28515625" style="4" hidden="1" customWidth="1"/>
    <col min="14104" max="14256" width="0" style="4" hidden="1" customWidth="1"/>
    <col min="14257" max="14337" width="0" style="4" hidden="1"/>
    <col min="14338" max="14338" width="4.5703125" style="4" hidden="1" customWidth="1"/>
    <col min="14339" max="14347" width="4.28515625" style="4" hidden="1" customWidth="1"/>
    <col min="14348" max="14348" width="7" style="4" hidden="1" customWidth="1"/>
    <col min="14349" max="14351" width="3.5703125" style="4" hidden="1" customWidth="1"/>
    <col min="14352" max="14352" width="4" style="4" hidden="1" customWidth="1"/>
    <col min="14353" max="14355" width="4.28515625" style="4" hidden="1" customWidth="1"/>
    <col min="14356" max="14357" width="5" style="4" hidden="1" customWidth="1"/>
    <col min="14358" max="14358" width="4" style="4" hidden="1" customWidth="1"/>
    <col min="14359" max="14359" width="1.28515625" style="4" hidden="1" customWidth="1"/>
    <col min="14360" max="14512" width="0" style="4" hidden="1" customWidth="1"/>
    <col min="14513" max="14593" width="0" style="4" hidden="1"/>
    <col min="14594" max="14594" width="4.5703125" style="4" hidden="1" customWidth="1"/>
    <col min="14595" max="14603" width="4.28515625" style="4" hidden="1" customWidth="1"/>
    <col min="14604" max="14604" width="7" style="4" hidden="1" customWidth="1"/>
    <col min="14605" max="14607" width="3.5703125" style="4" hidden="1" customWidth="1"/>
    <col min="14608" max="14608" width="4" style="4" hidden="1" customWidth="1"/>
    <col min="14609" max="14611" width="4.28515625" style="4" hidden="1" customWidth="1"/>
    <col min="14612" max="14613" width="5" style="4" hidden="1" customWidth="1"/>
    <col min="14614" max="14614" width="4" style="4" hidden="1" customWidth="1"/>
    <col min="14615" max="14615" width="1.28515625" style="4" hidden="1" customWidth="1"/>
    <col min="14616" max="14768" width="0" style="4" hidden="1" customWidth="1"/>
    <col min="14769" max="14849" width="0" style="4" hidden="1"/>
    <col min="14850" max="14850" width="4.5703125" style="4" hidden="1" customWidth="1"/>
    <col min="14851" max="14859" width="4.28515625" style="4" hidden="1" customWidth="1"/>
    <col min="14860" max="14860" width="7" style="4" hidden="1" customWidth="1"/>
    <col min="14861" max="14863" width="3.5703125" style="4" hidden="1" customWidth="1"/>
    <col min="14864" max="14864" width="4" style="4" hidden="1" customWidth="1"/>
    <col min="14865" max="14867" width="4.28515625" style="4" hidden="1" customWidth="1"/>
    <col min="14868" max="14869" width="5" style="4" hidden="1" customWidth="1"/>
    <col min="14870" max="14870" width="4" style="4" hidden="1" customWidth="1"/>
    <col min="14871" max="14871" width="1.28515625" style="4" hidden="1" customWidth="1"/>
    <col min="14872" max="15024" width="0" style="4" hidden="1" customWidth="1"/>
    <col min="15025" max="15105" width="0" style="4" hidden="1"/>
    <col min="15106" max="15106" width="4.5703125" style="4" hidden="1" customWidth="1"/>
    <col min="15107" max="15115" width="4.28515625" style="4" hidden="1" customWidth="1"/>
    <col min="15116" max="15116" width="7" style="4" hidden="1" customWidth="1"/>
    <col min="15117" max="15119" width="3.5703125" style="4" hidden="1" customWidth="1"/>
    <col min="15120" max="15120" width="4" style="4" hidden="1" customWidth="1"/>
    <col min="15121" max="15123" width="4.28515625" style="4" hidden="1" customWidth="1"/>
    <col min="15124" max="15125" width="5" style="4" hidden="1" customWidth="1"/>
    <col min="15126" max="15126" width="4" style="4" hidden="1" customWidth="1"/>
    <col min="15127" max="15127" width="1.28515625" style="4" hidden="1" customWidth="1"/>
    <col min="15128" max="15280" width="0" style="4" hidden="1" customWidth="1"/>
    <col min="15281" max="15361" width="0" style="4" hidden="1"/>
    <col min="15362" max="15362" width="4.5703125" style="4" hidden="1" customWidth="1"/>
    <col min="15363" max="15371" width="4.28515625" style="4" hidden="1" customWidth="1"/>
    <col min="15372" max="15372" width="7" style="4" hidden="1" customWidth="1"/>
    <col min="15373" max="15375" width="3.5703125" style="4" hidden="1" customWidth="1"/>
    <col min="15376" max="15376" width="4" style="4" hidden="1" customWidth="1"/>
    <col min="15377" max="15379" width="4.28515625" style="4" hidden="1" customWidth="1"/>
    <col min="15380" max="15381" width="5" style="4" hidden="1" customWidth="1"/>
    <col min="15382" max="15382" width="4" style="4" hidden="1" customWidth="1"/>
    <col min="15383" max="15383" width="1.28515625" style="4" hidden="1" customWidth="1"/>
    <col min="15384" max="15536" width="0" style="4" hidden="1" customWidth="1"/>
    <col min="15537" max="15617" width="0" style="4" hidden="1"/>
    <col min="15618" max="15618" width="4.5703125" style="4" hidden="1" customWidth="1"/>
    <col min="15619" max="15627" width="4.28515625" style="4" hidden="1" customWidth="1"/>
    <col min="15628" max="15628" width="7" style="4" hidden="1" customWidth="1"/>
    <col min="15629" max="15631" width="3.5703125" style="4" hidden="1" customWidth="1"/>
    <col min="15632" max="15632" width="4" style="4" hidden="1" customWidth="1"/>
    <col min="15633" max="15635" width="4.28515625" style="4" hidden="1" customWidth="1"/>
    <col min="15636" max="15637" width="5" style="4" hidden="1" customWidth="1"/>
    <col min="15638" max="15638" width="4" style="4" hidden="1" customWidth="1"/>
    <col min="15639" max="15639" width="1.28515625" style="4" hidden="1" customWidth="1"/>
    <col min="15640" max="15792" width="0" style="4" hidden="1" customWidth="1"/>
    <col min="15793" max="15873" width="0" style="4" hidden="1"/>
    <col min="15874" max="15874" width="4.5703125" style="4" hidden="1" customWidth="1"/>
    <col min="15875" max="15883" width="4.28515625" style="4" hidden="1" customWidth="1"/>
    <col min="15884" max="15884" width="7" style="4" hidden="1" customWidth="1"/>
    <col min="15885" max="15887" width="3.5703125" style="4" hidden="1" customWidth="1"/>
    <col min="15888" max="15888" width="4" style="4" hidden="1" customWidth="1"/>
    <col min="15889" max="15891" width="4.28515625" style="4" hidden="1" customWidth="1"/>
    <col min="15892" max="15893" width="5" style="4" hidden="1" customWidth="1"/>
    <col min="15894" max="15894" width="4" style="4" hidden="1" customWidth="1"/>
    <col min="15895" max="15895" width="1.28515625" style="4" hidden="1" customWidth="1"/>
    <col min="15896" max="16048" width="0" style="4" hidden="1" customWidth="1"/>
    <col min="16049" max="16129" width="0" style="4" hidden="1"/>
    <col min="16130" max="16130" width="4.5703125" style="4" hidden="1" customWidth="1"/>
    <col min="16131" max="16139" width="4.28515625" style="4" hidden="1" customWidth="1"/>
    <col min="16140" max="16140" width="7" style="4" hidden="1" customWidth="1"/>
    <col min="16141" max="16143" width="3.5703125" style="4" hidden="1" customWidth="1"/>
    <col min="16144" max="16144" width="4" style="4" hidden="1" customWidth="1"/>
    <col min="16145" max="16147" width="4.28515625" style="4" hidden="1" customWidth="1"/>
    <col min="16148" max="16149" width="5" style="4" hidden="1" customWidth="1"/>
    <col min="16150" max="16150" width="4" style="4" hidden="1" customWidth="1"/>
    <col min="16151" max="16151" width="1.28515625" style="4" hidden="1" customWidth="1"/>
    <col min="16152" max="16304" width="0" style="4" hidden="1" customWidth="1"/>
    <col min="16305" max="16384" width="0" style="4" hidden="1"/>
  </cols>
  <sheetData>
    <row r="1" spans="2:23" ht="15" customHeight="1">
      <c r="B1" s="719" t="s">
        <v>51</v>
      </c>
      <c r="C1" s="719"/>
      <c r="D1" s="719"/>
      <c r="E1" s="719"/>
      <c r="F1" s="719"/>
      <c r="G1" s="719"/>
      <c r="H1" s="719"/>
      <c r="I1" s="719"/>
      <c r="J1" s="719"/>
      <c r="K1" s="719"/>
      <c r="L1" s="719"/>
      <c r="M1" s="719"/>
      <c r="N1" s="719"/>
      <c r="O1" s="719"/>
      <c r="P1" s="719"/>
      <c r="Q1" s="719"/>
      <c r="R1" s="719"/>
      <c r="S1" s="719"/>
      <c r="T1" s="719"/>
      <c r="U1" s="719"/>
      <c r="V1" s="719"/>
    </row>
    <row r="2" spans="2:23" ht="3.75" customHeight="1"/>
    <row r="3" spans="2:23" s="134" customFormat="1" ht="15.75" customHeight="1">
      <c r="B3" s="720" t="s">
        <v>466</v>
      </c>
      <c r="C3" s="720"/>
      <c r="D3" s="720"/>
      <c r="E3" s="720"/>
      <c r="F3" s="720"/>
      <c r="G3" s="720"/>
      <c r="H3" s="720"/>
      <c r="I3" s="720"/>
      <c r="J3" s="720"/>
      <c r="K3" s="720"/>
      <c r="L3" s="720"/>
      <c r="M3" s="720"/>
      <c r="N3" s="720"/>
      <c r="O3" s="720"/>
      <c r="P3" s="720"/>
      <c r="Q3" s="720"/>
      <c r="R3" s="720"/>
      <c r="S3" s="720"/>
      <c r="T3" s="720"/>
      <c r="U3" s="720"/>
      <c r="V3" s="720"/>
    </row>
    <row r="4" spans="2:23" ht="14.25" customHeight="1">
      <c r="B4" s="643" t="s">
        <v>491</v>
      </c>
      <c r="C4" s="643"/>
      <c r="D4" s="643"/>
      <c r="E4" s="643"/>
      <c r="F4" s="643"/>
      <c r="G4" s="643"/>
      <c r="H4" s="643"/>
      <c r="I4" s="643"/>
      <c r="J4" s="643"/>
      <c r="K4" s="643"/>
      <c r="L4" s="643"/>
      <c r="M4" s="643"/>
      <c r="N4" s="643"/>
      <c r="O4" s="643"/>
      <c r="P4" s="643"/>
      <c r="Q4" s="643"/>
      <c r="R4" s="643"/>
      <c r="S4" s="643"/>
      <c r="T4" s="643"/>
      <c r="U4" s="643"/>
      <c r="V4" s="643"/>
      <c r="W4" s="134"/>
    </row>
    <row r="5" spans="2:23" ht="13.5" customHeight="1">
      <c r="B5" s="132" t="s">
        <v>45</v>
      </c>
      <c r="C5" s="132">
        <v>1</v>
      </c>
      <c r="D5" s="4" t="s">
        <v>52</v>
      </c>
      <c r="W5" s="134"/>
    </row>
    <row r="6" spans="2:23" ht="13.5" customHeight="1">
      <c r="C6" s="132">
        <v>2</v>
      </c>
      <c r="D6" s="4" t="s">
        <v>53</v>
      </c>
      <c r="W6" s="134"/>
    </row>
    <row r="7" spans="2:23" ht="13.5" customHeight="1">
      <c r="D7" s="4" t="s">
        <v>54</v>
      </c>
      <c r="F7" s="4" t="s">
        <v>3</v>
      </c>
    </row>
    <row r="8" spans="2:23" ht="6" customHeight="1"/>
    <row r="9" spans="2:23" ht="21" customHeight="1">
      <c r="B9" s="135">
        <v>1</v>
      </c>
      <c r="C9" s="136" t="s">
        <v>55</v>
      </c>
      <c r="D9" s="136"/>
      <c r="E9" s="136"/>
      <c r="F9" s="136"/>
      <c r="G9" s="136"/>
      <c r="H9" s="136"/>
      <c r="I9" s="136"/>
      <c r="J9" s="136"/>
      <c r="K9" s="136"/>
      <c r="L9" s="137" t="s">
        <v>34</v>
      </c>
      <c r="M9" s="721" t="str">
        <f>Data!I4</f>
        <v>Putta Srinivas Reddy</v>
      </c>
      <c r="N9" s="722"/>
      <c r="O9" s="722"/>
      <c r="P9" s="722"/>
      <c r="Q9" s="722"/>
      <c r="R9" s="722"/>
      <c r="S9" s="722"/>
      <c r="T9" s="722"/>
      <c r="U9" s="722"/>
      <c r="V9" s="723"/>
    </row>
    <row r="10" spans="2:23" ht="21" customHeight="1">
      <c r="B10" s="138">
        <v>2</v>
      </c>
      <c r="C10" s="678" t="s">
        <v>56</v>
      </c>
      <c r="D10" s="678"/>
      <c r="E10" s="678"/>
      <c r="F10" s="678"/>
      <c r="G10" s="678"/>
      <c r="H10" s="678"/>
      <c r="I10" s="678"/>
      <c r="J10" s="678"/>
      <c r="K10" s="678"/>
      <c r="L10" s="679"/>
      <c r="M10" s="736" t="str">
        <f>Data!I5</f>
        <v>Secondary Grade Teacher</v>
      </c>
      <c r="N10" s="613"/>
      <c r="O10" s="613"/>
      <c r="P10" s="613"/>
      <c r="Q10" s="613"/>
      <c r="R10" s="613"/>
      <c r="S10" s="613"/>
      <c r="T10" s="613" t="s">
        <v>490</v>
      </c>
      <c r="U10" s="613"/>
      <c r="V10" s="614"/>
    </row>
    <row r="11" spans="2:23" ht="21" customHeight="1">
      <c r="B11" s="139"/>
      <c r="C11" s="724"/>
      <c r="D11" s="724"/>
      <c r="E11" s="724"/>
      <c r="F11" s="724"/>
      <c r="G11" s="724"/>
      <c r="H11" s="724"/>
      <c r="I11" s="724"/>
      <c r="J11" s="724"/>
      <c r="K11" s="724"/>
      <c r="L11" s="725"/>
      <c r="M11" s="737"/>
      <c r="N11" s="615"/>
      <c r="O11" s="615"/>
      <c r="P11" s="615"/>
      <c r="Q11" s="615"/>
      <c r="R11" s="615"/>
      <c r="S11" s="615"/>
      <c r="T11" s="615"/>
      <c r="U11" s="615"/>
      <c r="V11" s="616"/>
    </row>
    <row r="12" spans="2:23" ht="21" customHeight="1">
      <c r="B12" s="140"/>
      <c r="C12" s="680"/>
      <c r="D12" s="680"/>
      <c r="E12" s="680"/>
      <c r="F12" s="680"/>
      <c r="G12" s="680"/>
      <c r="H12" s="680"/>
      <c r="I12" s="680"/>
      <c r="J12" s="680"/>
      <c r="K12" s="680"/>
      <c r="L12" s="681"/>
      <c r="M12" s="726" t="str">
        <f>Data!G41</f>
        <v>29760 - 80930</v>
      </c>
      <c r="N12" s="727"/>
      <c r="O12" s="727"/>
      <c r="P12" s="727"/>
      <c r="Q12" s="728" t="str">
        <f>Data!J41</f>
        <v>SPP-IA</v>
      </c>
      <c r="R12" s="728"/>
      <c r="S12" s="728"/>
      <c r="T12" s="728"/>
      <c r="U12" s="728"/>
      <c r="V12" s="141"/>
    </row>
    <row r="13" spans="2:23" ht="21" customHeight="1">
      <c r="B13" s="138">
        <v>3</v>
      </c>
      <c r="C13" s="142" t="s">
        <v>57</v>
      </c>
      <c r="D13" s="142"/>
      <c r="E13" s="142"/>
      <c r="F13" s="142"/>
      <c r="G13" s="142"/>
      <c r="H13" s="142"/>
      <c r="I13" s="142"/>
      <c r="J13" s="142"/>
      <c r="K13" s="142"/>
      <c r="L13" s="143" t="s">
        <v>34</v>
      </c>
      <c r="M13" s="729" t="s">
        <v>486</v>
      </c>
      <c r="N13" s="730"/>
      <c r="O13" s="730"/>
      <c r="P13" s="730"/>
      <c r="Q13" s="730"/>
      <c r="R13" s="730"/>
      <c r="S13" s="730"/>
      <c r="T13" s="730"/>
      <c r="U13" s="730"/>
      <c r="V13" s="731"/>
    </row>
    <row r="14" spans="2:23" ht="21" customHeight="1">
      <c r="B14" s="138" t="s">
        <v>58</v>
      </c>
      <c r="C14" s="678" t="s">
        <v>468</v>
      </c>
      <c r="D14" s="678"/>
      <c r="E14" s="678"/>
      <c r="F14" s="678"/>
      <c r="G14" s="678"/>
      <c r="H14" s="678"/>
      <c r="I14" s="678"/>
      <c r="J14" s="678"/>
      <c r="K14" s="678"/>
      <c r="L14" s="679"/>
      <c r="M14" s="619" t="s">
        <v>59</v>
      </c>
      <c r="N14" s="619"/>
      <c r="O14" s="619"/>
      <c r="P14" s="619"/>
      <c r="Q14" s="619"/>
      <c r="R14" s="619"/>
      <c r="S14" s="619"/>
      <c r="T14" s="619"/>
      <c r="U14" s="619"/>
      <c r="V14" s="620"/>
    </row>
    <row r="15" spans="2:23" ht="15.75" customHeight="1">
      <c r="B15" s="139"/>
      <c r="C15" s="724"/>
      <c r="D15" s="724"/>
      <c r="E15" s="724"/>
      <c r="F15" s="724"/>
      <c r="G15" s="724"/>
      <c r="H15" s="724"/>
      <c r="I15" s="724"/>
      <c r="J15" s="724"/>
      <c r="K15" s="724"/>
      <c r="L15" s="725"/>
      <c r="M15" s="622"/>
      <c r="N15" s="622"/>
      <c r="O15" s="622"/>
      <c r="P15" s="622"/>
      <c r="Q15" s="622"/>
      <c r="R15" s="622"/>
      <c r="S15" s="622"/>
      <c r="T15" s="622"/>
      <c r="U15" s="622"/>
      <c r="V15" s="623"/>
    </row>
    <row r="16" spans="2:23" ht="18" customHeight="1">
      <c r="B16" s="144" t="s">
        <v>60</v>
      </c>
      <c r="C16" s="145" t="s">
        <v>61</v>
      </c>
      <c r="D16" s="145"/>
      <c r="E16" s="145"/>
      <c r="F16" s="145"/>
      <c r="G16" s="145"/>
      <c r="H16" s="145"/>
      <c r="I16" s="145"/>
      <c r="J16" s="145"/>
      <c r="K16" s="145"/>
      <c r="L16" s="146" t="s">
        <v>34</v>
      </c>
      <c r="M16" s="732">
        <f ca="1">TODAY()</f>
        <v>44363</v>
      </c>
      <c r="N16" s="732"/>
      <c r="O16" s="732"/>
      <c r="P16" s="732"/>
      <c r="Q16" s="732"/>
      <c r="R16" s="732"/>
      <c r="S16" s="732"/>
      <c r="T16" s="732"/>
      <c r="U16" s="732"/>
      <c r="V16" s="733"/>
    </row>
    <row r="17" spans="2:22" ht="18" customHeight="1">
      <c r="B17" s="144" t="s">
        <v>62</v>
      </c>
      <c r="C17" s="145" t="s">
        <v>63</v>
      </c>
      <c r="D17" s="145"/>
      <c r="E17" s="145"/>
      <c r="F17" s="145"/>
      <c r="G17" s="145"/>
      <c r="H17" s="145"/>
      <c r="I17" s="145"/>
      <c r="J17" s="145"/>
      <c r="K17" s="145"/>
      <c r="L17" s="146"/>
      <c r="M17" s="147"/>
      <c r="N17" s="147"/>
      <c r="O17" s="147"/>
      <c r="P17" s="147"/>
      <c r="Q17" s="147"/>
      <c r="R17" s="147"/>
      <c r="S17" s="147"/>
      <c r="T17" s="147"/>
      <c r="U17" s="147"/>
      <c r="V17" s="141"/>
    </row>
    <row r="18" spans="2:22" ht="18" customHeight="1">
      <c r="B18" s="139"/>
      <c r="C18" s="145" t="s">
        <v>465</v>
      </c>
      <c r="D18" s="145"/>
      <c r="E18" s="145"/>
      <c r="F18" s="145"/>
      <c r="G18" s="145"/>
      <c r="H18" s="145"/>
      <c r="I18" s="145"/>
      <c r="J18" s="145"/>
      <c r="K18" s="145"/>
      <c r="L18" s="146" t="s">
        <v>34</v>
      </c>
      <c r="M18" s="734" t="str">
        <f>Data!AP199</f>
        <v>01.07.2018</v>
      </c>
      <c r="N18" s="734"/>
      <c r="O18" s="734"/>
      <c r="P18" s="734"/>
      <c r="Q18" s="734"/>
      <c r="R18" s="734"/>
      <c r="S18" s="734"/>
      <c r="T18" s="734"/>
      <c r="U18" s="734"/>
      <c r="V18" s="735"/>
    </row>
    <row r="19" spans="2:22" ht="18" customHeight="1">
      <c r="B19" s="140"/>
      <c r="C19" s="148" t="s">
        <v>64</v>
      </c>
      <c r="D19" s="148"/>
      <c r="E19" s="148"/>
      <c r="F19" s="148"/>
      <c r="G19" s="148"/>
      <c r="H19" s="148"/>
      <c r="I19" s="148"/>
      <c r="J19" s="148"/>
      <c r="K19" s="148"/>
      <c r="L19" s="149"/>
      <c r="M19" s="150"/>
      <c r="N19" s="150"/>
      <c r="O19" s="150"/>
      <c r="P19" s="150"/>
      <c r="Q19" s="150"/>
      <c r="R19" s="150"/>
      <c r="S19" s="150"/>
      <c r="T19" s="150"/>
      <c r="U19" s="150"/>
      <c r="V19" s="151"/>
    </row>
    <row r="20" spans="2:22" ht="38.25" customHeight="1">
      <c r="B20" s="668" t="s">
        <v>65</v>
      </c>
      <c r="C20" s="678" t="s">
        <v>469</v>
      </c>
      <c r="D20" s="678"/>
      <c r="E20" s="678"/>
      <c r="F20" s="678"/>
      <c r="G20" s="678"/>
      <c r="H20" s="678"/>
      <c r="I20" s="678"/>
      <c r="J20" s="678"/>
      <c r="K20" s="678"/>
      <c r="L20" s="679"/>
      <c r="M20" s="713" t="str">
        <f>Data!CJ112</f>
        <v>29760-820-30580-880-33220-950-36070-1030-39160-1110-42490-1190-46060-1270-49870-1360-53950-1460-58330-1560-63010-1660-67990-1760-73270-1880-78910-2020-80930 (38)</v>
      </c>
      <c r="N20" s="714"/>
      <c r="O20" s="714"/>
      <c r="P20" s="714"/>
      <c r="Q20" s="714"/>
      <c r="R20" s="714"/>
      <c r="S20" s="714"/>
      <c r="T20" s="714"/>
      <c r="U20" s="714"/>
      <c r="V20" s="715"/>
    </row>
    <row r="21" spans="2:22" ht="38.25" customHeight="1">
      <c r="B21" s="677"/>
      <c r="C21" s="680"/>
      <c r="D21" s="680"/>
      <c r="E21" s="680"/>
      <c r="F21" s="680"/>
      <c r="G21" s="680"/>
      <c r="H21" s="680"/>
      <c r="I21" s="680"/>
      <c r="J21" s="680"/>
      <c r="K21" s="680"/>
      <c r="L21" s="681"/>
      <c r="M21" s="716"/>
      <c r="N21" s="717"/>
      <c r="O21" s="717"/>
      <c r="P21" s="717"/>
      <c r="Q21" s="717"/>
      <c r="R21" s="717"/>
      <c r="S21" s="717"/>
      <c r="T21" s="717"/>
      <c r="U21" s="717"/>
      <c r="V21" s="718"/>
    </row>
    <row r="22" spans="2:22" ht="21" customHeight="1">
      <c r="B22" s="135" t="s">
        <v>66</v>
      </c>
      <c r="C22" s="136" t="s">
        <v>470</v>
      </c>
      <c r="D22" s="136"/>
      <c r="E22" s="136"/>
      <c r="F22" s="136"/>
      <c r="G22" s="136"/>
      <c r="H22" s="136"/>
      <c r="I22" s="136"/>
      <c r="J22" s="136"/>
      <c r="K22" s="136"/>
      <c r="L22" s="137" t="s">
        <v>34</v>
      </c>
      <c r="M22" s="688">
        <f>Data!P21</f>
        <v>34170</v>
      </c>
      <c r="N22" s="689"/>
      <c r="O22" s="689"/>
      <c r="P22" s="689"/>
      <c r="Q22" s="689"/>
      <c r="R22" s="689"/>
      <c r="S22" s="689"/>
      <c r="T22" s="689"/>
      <c r="U22" s="689"/>
      <c r="V22" s="690"/>
    </row>
    <row r="23" spans="2:22" ht="38.25" customHeight="1">
      <c r="B23" s="152" t="s">
        <v>60</v>
      </c>
      <c r="C23" s="136" t="s">
        <v>471</v>
      </c>
      <c r="D23" s="136"/>
      <c r="E23" s="136"/>
      <c r="F23" s="136"/>
      <c r="G23" s="136"/>
      <c r="H23" s="136"/>
      <c r="I23" s="136"/>
      <c r="J23" s="136"/>
      <c r="K23" s="136"/>
      <c r="L23" s="137" t="s">
        <v>34</v>
      </c>
      <c r="M23" s="691" t="str">
        <f>CONCATENATE("FPI @ Rs. ",Data!L23,"/- Addl.@ Rs. ",Data!M24,"/-",)</f>
        <v>FPI @ Rs. 15/- Addl.@ Rs. 20/-</v>
      </c>
      <c r="N23" s="692"/>
      <c r="O23" s="692"/>
      <c r="P23" s="692"/>
      <c r="Q23" s="692"/>
      <c r="R23" s="692"/>
      <c r="S23" s="692"/>
      <c r="T23" s="692"/>
      <c r="U23" s="692"/>
      <c r="V23" s="693"/>
    </row>
    <row r="24" spans="2:22" ht="21" customHeight="1">
      <c r="B24" s="139">
        <v>6</v>
      </c>
      <c r="C24" s="145" t="s">
        <v>472</v>
      </c>
      <c r="D24" s="145"/>
      <c r="E24" s="145"/>
      <c r="F24" s="145"/>
      <c r="G24" s="145"/>
      <c r="H24" s="145"/>
      <c r="I24" s="145"/>
      <c r="J24" s="145"/>
      <c r="K24" s="145"/>
      <c r="L24" s="153"/>
      <c r="M24" s="147"/>
      <c r="N24" s="147"/>
      <c r="O24" s="147"/>
      <c r="P24" s="147"/>
      <c r="Q24" s="147"/>
      <c r="R24" s="147"/>
      <c r="S24" s="147"/>
      <c r="T24" s="147"/>
      <c r="U24" s="147"/>
      <c r="V24" s="141"/>
    </row>
    <row r="25" spans="2:22" ht="11.25" customHeight="1">
      <c r="B25" s="140"/>
      <c r="C25" s="148"/>
      <c r="D25" s="148"/>
      <c r="E25" s="148"/>
      <c r="F25" s="148"/>
      <c r="G25" s="148"/>
      <c r="H25" s="148"/>
      <c r="I25" s="148"/>
      <c r="J25" s="148"/>
      <c r="K25" s="148"/>
      <c r="L25" s="154"/>
      <c r="M25" s="155"/>
      <c r="N25" s="155"/>
      <c r="O25" s="155"/>
      <c r="P25" s="155"/>
      <c r="Q25" s="155"/>
      <c r="R25" s="155"/>
      <c r="S25" s="155"/>
      <c r="T25" s="155"/>
      <c r="U25" s="155"/>
      <c r="V25" s="156"/>
    </row>
    <row r="26" spans="2:22" ht="21" customHeight="1">
      <c r="B26" s="144" t="s">
        <v>67</v>
      </c>
      <c r="C26" s="694" t="s">
        <v>68</v>
      </c>
      <c r="D26" s="694"/>
      <c r="E26" s="694"/>
      <c r="F26" s="694"/>
      <c r="G26" s="694"/>
      <c r="H26" s="694"/>
      <c r="I26" s="694"/>
      <c r="J26" s="694"/>
      <c r="K26" s="694"/>
      <c r="L26" s="695"/>
      <c r="M26" s="157"/>
      <c r="N26" s="147"/>
      <c r="O26" s="147"/>
      <c r="P26" s="147"/>
      <c r="Q26" s="147"/>
      <c r="R26" s="147"/>
      <c r="S26" s="147"/>
      <c r="T26" s="147"/>
      <c r="U26" s="147"/>
      <c r="V26" s="141"/>
    </row>
    <row r="27" spans="2:22" ht="21" customHeight="1">
      <c r="B27" s="158"/>
      <c r="C27" s="696"/>
      <c r="D27" s="696"/>
      <c r="E27" s="696"/>
      <c r="F27" s="696"/>
      <c r="G27" s="696"/>
      <c r="H27" s="696"/>
      <c r="I27" s="696"/>
      <c r="J27" s="696"/>
      <c r="K27" s="696"/>
      <c r="L27" s="697"/>
      <c r="M27" s="698">
        <f>Data!P21</f>
        <v>34170</v>
      </c>
      <c r="N27" s="699"/>
      <c r="O27" s="699"/>
      <c r="P27" s="699"/>
      <c r="Q27" s="699"/>
      <c r="R27" s="155"/>
      <c r="S27" s="155"/>
      <c r="T27" s="155"/>
      <c r="U27" s="155"/>
      <c r="V27" s="156"/>
    </row>
    <row r="28" spans="2:22" ht="20.25" customHeight="1">
      <c r="B28" s="159" t="s">
        <v>60</v>
      </c>
      <c r="C28" s="142" t="s">
        <v>69</v>
      </c>
      <c r="D28" s="142"/>
      <c r="E28" s="142"/>
      <c r="F28" s="142"/>
      <c r="G28" s="142"/>
      <c r="H28" s="142"/>
      <c r="I28" s="142"/>
      <c r="J28" s="142"/>
      <c r="K28" s="142"/>
      <c r="L28" s="143"/>
      <c r="M28" s="160"/>
      <c r="N28" s="161"/>
      <c r="O28" s="161"/>
      <c r="P28" s="161"/>
      <c r="Q28" s="161"/>
      <c r="R28" s="162"/>
      <c r="S28" s="162"/>
      <c r="T28" s="162"/>
      <c r="U28" s="162"/>
      <c r="V28" s="163"/>
    </row>
    <row r="29" spans="2:22" ht="20.25" customHeight="1">
      <c r="B29" s="144"/>
      <c r="C29" s="145" t="s">
        <v>70</v>
      </c>
      <c r="D29" s="145"/>
      <c r="E29" s="145"/>
      <c r="F29" s="145"/>
      <c r="G29" s="145"/>
      <c r="H29" s="145"/>
      <c r="I29" s="145"/>
      <c r="J29" s="145"/>
      <c r="K29" s="145"/>
      <c r="L29" s="146" t="s">
        <v>34</v>
      </c>
      <c r="M29" s="700">
        <v>0</v>
      </c>
      <c r="N29" s="701"/>
      <c r="O29" s="701"/>
      <c r="P29" s="701"/>
      <c r="Q29" s="701"/>
      <c r="R29" s="164"/>
      <c r="S29" s="164"/>
      <c r="T29" s="164"/>
      <c r="U29" s="164"/>
      <c r="V29" s="165"/>
    </row>
    <row r="30" spans="2:22" ht="20.25" customHeight="1">
      <c r="B30" s="158"/>
      <c r="C30" s="148" t="s">
        <v>71</v>
      </c>
      <c r="D30" s="148"/>
      <c r="E30" s="148"/>
      <c r="F30" s="148"/>
      <c r="G30" s="148"/>
      <c r="H30" s="148"/>
      <c r="I30" s="148"/>
      <c r="J30" s="148"/>
      <c r="K30" s="148"/>
      <c r="L30" s="149"/>
      <c r="M30" s="166"/>
      <c r="N30" s="167"/>
      <c r="O30" s="167"/>
      <c r="P30" s="167"/>
      <c r="Q30" s="167"/>
      <c r="R30" s="150"/>
      <c r="S30" s="150"/>
      <c r="T30" s="150"/>
      <c r="U30" s="150"/>
      <c r="V30" s="151"/>
    </row>
    <row r="31" spans="2:22" ht="21" customHeight="1">
      <c r="B31" s="159" t="s">
        <v>62</v>
      </c>
      <c r="C31" s="142" t="s">
        <v>314</v>
      </c>
      <c r="D31" s="142"/>
      <c r="E31" s="142"/>
      <c r="F31" s="142"/>
      <c r="G31" s="142"/>
      <c r="H31" s="142"/>
      <c r="I31" s="142"/>
      <c r="J31" s="142"/>
      <c r="K31" s="142"/>
      <c r="L31" s="143"/>
      <c r="M31" s="160"/>
      <c r="N31" s="161"/>
      <c r="O31" s="161"/>
      <c r="P31" s="161"/>
      <c r="Q31" s="161"/>
      <c r="R31" s="162"/>
      <c r="S31" s="162"/>
      <c r="T31" s="162"/>
      <c r="U31" s="162"/>
      <c r="V31" s="163"/>
    </row>
    <row r="32" spans="2:22" ht="21" customHeight="1">
      <c r="B32" s="144"/>
      <c r="C32" s="145" t="s">
        <v>72</v>
      </c>
      <c r="D32" s="145"/>
      <c r="E32" s="145"/>
      <c r="F32" s="145"/>
      <c r="G32" s="145"/>
      <c r="H32" s="145"/>
      <c r="I32" s="145"/>
      <c r="J32" s="145"/>
      <c r="K32" s="145"/>
      <c r="L32" s="146"/>
      <c r="M32" s="168"/>
      <c r="N32" s="169"/>
      <c r="O32" s="169"/>
      <c r="P32" s="169"/>
      <c r="Q32" s="169"/>
      <c r="R32" s="147"/>
      <c r="S32" s="147"/>
      <c r="T32" s="147"/>
      <c r="U32" s="147"/>
      <c r="V32" s="141"/>
    </row>
    <row r="33" spans="2:23" ht="21" customHeight="1">
      <c r="B33" s="144"/>
      <c r="C33" s="145" t="s">
        <v>315</v>
      </c>
      <c r="D33" s="145"/>
      <c r="E33" s="145"/>
      <c r="F33" s="145"/>
      <c r="G33" s="145"/>
      <c r="H33" s="145"/>
      <c r="I33" s="145"/>
      <c r="J33" s="145"/>
      <c r="K33" s="145"/>
      <c r="L33" s="146"/>
      <c r="M33" s="700">
        <f>M27*30.392%</f>
        <v>10384.946399999999</v>
      </c>
      <c r="N33" s="701"/>
      <c r="O33" s="701"/>
      <c r="P33" s="701"/>
      <c r="Q33" s="701"/>
      <c r="R33" s="170"/>
      <c r="S33" s="170"/>
      <c r="T33" s="170"/>
      <c r="U33" s="170"/>
      <c r="V33" s="171"/>
    </row>
    <row r="34" spans="2:23" ht="21" customHeight="1" thickBot="1">
      <c r="B34" s="172"/>
      <c r="C34" s="173" t="s">
        <v>73</v>
      </c>
      <c r="D34" s="173"/>
      <c r="E34" s="173"/>
      <c r="F34" s="173"/>
      <c r="G34" s="173"/>
      <c r="H34" s="173"/>
      <c r="I34" s="173"/>
      <c r="J34" s="173"/>
      <c r="K34" s="173"/>
      <c r="L34" s="174"/>
      <c r="M34" s="175"/>
      <c r="N34" s="176"/>
      <c r="O34" s="176"/>
      <c r="P34" s="176"/>
      <c r="Q34" s="176"/>
      <c r="R34" s="177"/>
      <c r="S34" s="177"/>
      <c r="T34" s="177"/>
      <c r="U34" s="177"/>
      <c r="V34" s="178"/>
    </row>
    <row r="35" spans="2:23" s="1" customFormat="1" ht="21" customHeight="1" thickBot="1">
      <c r="B35" s="179"/>
      <c r="C35" s="180" t="s">
        <v>74</v>
      </c>
      <c r="D35" s="180"/>
      <c r="E35" s="180"/>
      <c r="F35" s="180"/>
      <c r="G35" s="180"/>
      <c r="H35" s="180"/>
      <c r="I35" s="180"/>
      <c r="J35" s="180"/>
      <c r="K35" s="180"/>
      <c r="L35" s="181" t="s">
        <v>34</v>
      </c>
      <c r="M35" s="702">
        <f>M27+M33</f>
        <v>44554.946400000001</v>
      </c>
      <c r="N35" s="703"/>
      <c r="O35" s="703"/>
      <c r="P35" s="703"/>
      <c r="Q35" s="703"/>
      <c r="R35" s="182"/>
      <c r="S35" s="182"/>
      <c r="T35" s="182"/>
      <c r="U35" s="182"/>
      <c r="V35" s="183"/>
    </row>
    <row r="36" spans="2:23" ht="21" customHeight="1">
      <c r="B36" s="704">
        <v>7</v>
      </c>
      <c r="C36" s="705" t="s">
        <v>448</v>
      </c>
      <c r="D36" s="705"/>
      <c r="E36" s="705"/>
      <c r="F36" s="705"/>
      <c r="G36" s="705"/>
      <c r="H36" s="705"/>
      <c r="I36" s="705"/>
      <c r="J36" s="705"/>
      <c r="K36" s="705"/>
      <c r="L36" s="706"/>
      <c r="M36" s="707">
        <f>M27*30%</f>
        <v>10251</v>
      </c>
      <c r="N36" s="708"/>
      <c r="O36" s="708"/>
      <c r="P36" s="708"/>
      <c r="Q36" s="708"/>
      <c r="R36" s="147"/>
      <c r="S36" s="147"/>
      <c r="T36" s="147"/>
      <c r="U36" s="147"/>
      <c r="V36" s="141"/>
    </row>
    <row r="37" spans="2:23" ht="21" customHeight="1">
      <c r="B37" s="677"/>
      <c r="C37" s="680"/>
      <c r="D37" s="680"/>
      <c r="E37" s="680"/>
      <c r="F37" s="680"/>
      <c r="G37" s="680"/>
      <c r="H37" s="680"/>
      <c r="I37" s="680"/>
      <c r="J37" s="680"/>
      <c r="K37" s="680"/>
      <c r="L37" s="681"/>
      <c r="M37" s="709"/>
      <c r="N37" s="710"/>
      <c r="O37" s="710"/>
      <c r="P37" s="710"/>
      <c r="Q37" s="710"/>
      <c r="R37" s="155"/>
      <c r="S37" s="155"/>
      <c r="T37" s="155"/>
      <c r="U37" s="155"/>
      <c r="V37" s="156"/>
    </row>
    <row r="38" spans="2:23" ht="21" customHeight="1">
      <c r="B38" s="138">
        <v>8</v>
      </c>
      <c r="C38" s="142" t="s">
        <v>75</v>
      </c>
      <c r="D38" s="142"/>
      <c r="E38" s="142"/>
      <c r="F38" s="142"/>
      <c r="G38" s="142"/>
      <c r="H38" s="142"/>
      <c r="I38" s="142"/>
      <c r="J38" s="142"/>
      <c r="K38" s="142"/>
      <c r="L38" s="143"/>
      <c r="M38" s="711">
        <f>M35+M36</f>
        <v>54805.946400000001</v>
      </c>
      <c r="N38" s="712"/>
      <c r="O38" s="712"/>
      <c r="P38" s="712"/>
      <c r="Q38" s="712"/>
      <c r="R38" s="162"/>
      <c r="S38" s="162"/>
      <c r="T38" s="162"/>
      <c r="U38" s="162"/>
      <c r="V38" s="163"/>
    </row>
    <row r="39" spans="2:23" ht="9" customHeight="1">
      <c r="B39" s="140"/>
      <c r="C39" s="148"/>
      <c r="D39" s="148"/>
      <c r="E39" s="148"/>
      <c r="F39" s="148"/>
      <c r="G39" s="148"/>
      <c r="H39" s="148"/>
      <c r="I39" s="148"/>
      <c r="J39" s="148"/>
      <c r="K39" s="148"/>
      <c r="L39" s="149"/>
      <c r="M39" s="166"/>
      <c r="N39" s="167"/>
      <c r="O39" s="167"/>
      <c r="P39" s="167"/>
      <c r="Q39" s="167"/>
      <c r="R39" s="150"/>
      <c r="S39" s="150"/>
      <c r="T39" s="150"/>
      <c r="U39" s="150"/>
      <c r="V39" s="151"/>
    </row>
    <row r="40" spans="2:23" ht="9" customHeight="1">
      <c r="B40" s="4"/>
      <c r="L40" s="4"/>
      <c r="M40" s="4"/>
      <c r="N40" s="4"/>
      <c r="O40" s="4"/>
      <c r="P40" s="4"/>
      <c r="Q40" s="7"/>
      <c r="R40" s="7"/>
      <c r="S40" s="7"/>
      <c r="T40" s="4"/>
      <c r="U40" s="4"/>
      <c r="V40" s="4"/>
    </row>
    <row r="41" spans="2:23" ht="39.75" customHeight="1">
      <c r="B41" s="668">
        <v>9</v>
      </c>
      <c r="C41" s="678" t="s">
        <v>473</v>
      </c>
      <c r="D41" s="678"/>
      <c r="E41" s="678"/>
      <c r="F41" s="678"/>
      <c r="G41" s="678"/>
      <c r="H41" s="678"/>
      <c r="I41" s="678"/>
      <c r="J41" s="678"/>
      <c r="K41" s="678"/>
      <c r="L41" s="679"/>
      <c r="M41" s="682" t="str">
        <f>Data!CJ148</f>
        <v>54220-1500-57220-1630-62110-1730-67300-1850-72850-1990-78820-2140-85240-2270-92050-2420-99310-2560-106990-2760-115270-2960-124150-3160-133630 (35)</v>
      </c>
      <c r="N41" s="683"/>
      <c r="O41" s="683"/>
      <c r="P41" s="683"/>
      <c r="Q41" s="683"/>
      <c r="R41" s="683"/>
      <c r="S41" s="683"/>
      <c r="T41" s="683"/>
      <c r="U41" s="683"/>
      <c r="V41" s="684"/>
      <c r="W41" s="184"/>
    </row>
    <row r="42" spans="2:23" ht="30" customHeight="1">
      <c r="B42" s="677"/>
      <c r="C42" s="680"/>
      <c r="D42" s="680"/>
      <c r="E42" s="680"/>
      <c r="F42" s="680"/>
      <c r="G42" s="680"/>
      <c r="H42" s="680"/>
      <c r="I42" s="680"/>
      <c r="J42" s="680"/>
      <c r="K42" s="680"/>
      <c r="L42" s="681"/>
      <c r="M42" s="685"/>
      <c r="N42" s="686"/>
      <c r="O42" s="686"/>
      <c r="P42" s="686"/>
      <c r="Q42" s="686"/>
      <c r="R42" s="686"/>
      <c r="S42" s="686"/>
      <c r="T42" s="686"/>
      <c r="U42" s="686"/>
      <c r="V42" s="687"/>
    </row>
    <row r="43" spans="2:23" ht="16.5" customHeight="1">
      <c r="B43" s="668">
        <v>10</v>
      </c>
      <c r="C43" s="185" t="s">
        <v>76</v>
      </c>
      <c r="D43" s="142"/>
      <c r="E43" s="142"/>
      <c r="F43" s="142"/>
      <c r="G43" s="142"/>
      <c r="H43" s="142"/>
      <c r="I43" s="142"/>
      <c r="J43" s="142"/>
      <c r="K43" s="142"/>
      <c r="L43" s="143"/>
      <c r="M43" s="186"/>
      <c r="N43" s="162"/>
      <c r="O43" s="162"/>
      <c r="P43" s="162"/>
      <c r="Q43" s="162"/>
      <c r="R43" s="162"/>
      <c r="S43" s="162"/>
      <c r="T43" s="162"/>
      <c r="U43" s="162"/>
      <c r="V43" s="163"/>
    </row>
    <row r="44" spans="2:23" ht="16.5" customHeight="1">
      <c r="B44" s="669"/>
      <c r="C44" s="145" t="s">
        <v>77</v>
      </c>
      <c r="D44" s="145"/>
      <c r="E44" s="145"/>
      <c r="F44" s="145"/>
      <c r="G44" s="145"/>
      <c r="H44" s="145"/>
      <c r="I44" s="145"/>
      <c r="J44" s="145"/>
      <c r="K44" s="145"/>
      <c r="L44" s="146" t="s">
        <v>34</v>
      </c>
      <c r="M44" s="671">
        <f>Data!BC204</f>
        <v>55720</v>
      </c>
      <c r="N44" s="672"/>
      <c r="O44" s="672"/>
      <c r="P44" s="672"/>
      <c r="Q44" s="672"/>
      <c r="R44" s="672"/>
      <c r="S44" s="672"/>
      <c r="T44" s="672"/>
      <c r="U44" s="672"/>
      <c r="V44" s="673"/>
      <c r="W44" s="184"/>
    </row>
    <row r="45" spans="2:23" ht="16.5" customHeight="1">
      <c r="B45" s="669"/>
      <c r="C45" s="145" t="s">
        <v>78</v>
      </c>
      <c r="D45" s="145"/>
      <c r="E45" s="145"/>
      <c r="F45" s="145"/>
      <c r="G45" s="145"/>
      <c r="H45" s="145"/>
      <c r="I45" s="145"/>
      <c r="J45" s="145"/>
      <c r="K45" s="145"/>
      <c r="L45" s="146"/>
      <c r="M45" s="157"/>
      <c r="N45" s="147"/>
      <c r="O45" s="147"/>
      <c r="P45" s="147"/>
      <c r="Q45" s="147"/>
      <c r="R45" s="147"/>
      <c r="S45" s="147"/>
      <c r="T45" s="147"/>
      <c r="U45" s="147"/>
      <c r="V45" s="141"/>
    </row>
    <row r="46" spans="2:23" ht="16.5" customHeight="1" thickBot="1">
      <c r="B46" s="670"/>
      <c r="C46" s="145" t="s">
        <v>79</v>
      </c>
      <c r="D46" s="145"/>
      <c r="E46" s="145"/>
      <c r="F46" s="145"/>
      <c r="G46" s="145"/>
      <c r="H46" s="145"/>
      <c r="I46" s="145"/>
      <c r="J46" s="145"/>
      <c r="K46" s="145"/>
      <c r="L46" s="146"/>
      <c r="M46" s="157"/>
      <c r="N46" s="147"/>
      <c r="O46" s="147"/>
      <c r="P46" s="147"/>
      <c r="Q46" s="147"/>
      <c r="R46" s="147"/>
      <c r="S46" s="147"/>
      <c r="T46" s="147"/>
      <c r="U46" s="147"/>
      <c r="V46" s="141"/>
    </row>
    <row r="47" spans="2:23" ht="14.25" customHeight="1">
      <c r="B47" s="187">
        <v>11</v>
      </c>
      <c r="C47" s="188" t="s">
        <v>80</v>
      </c>
      <c r="D47" s="188"/>
      <c r="E47" s="188"/>
      <c r="F47" s="188"/>
      <c r="G47" s="188"/>
      <c r="H47" s="188"/>
      <c r="I47" s="188"/>
      <c r="J47" s="188"/>
      <c r="K47" s="188"/>
      <c r="L47" s="189"/>
      <c r="M47" s="190" t="s">
        <v>81</v>
      </c>
      <c r="N47" s="191"/>
      <c r="O47" s="191"/>
      <c r="P47" s="191"/>
      <c r="Q47" s="192"/>
      <c r="R47" s="193" t="s">
        <v>82</v>
      </c>
      <c r="S47" s="193"/>
      <c r="T47" s="191"/>
      <c r="U47" s="191"/>
      <c r="V47" s="194"/>
    </row>
    <row r="48" spans="2:23" ht="14.25" customHeight="1">
      <c r="B48" s="140"/>
      <c r="C48" s="148"/>
      <c r="D48" s="148"/>
      <c r="E48" s="148"/>
      <c r="F48" s="148"/>
      <c r="G48" s="148"/>
      <c r="H48" s="148"/>
      <c r="I48" s="148"/>
      <c r="J48" s="148"/>
      <c r="K48" s="148"/>
      <c r="L48" s="149"/>
      <c r="M48" s="195" t="s">
        <v>313</v>
      </c>
      <c r="N48" s="196"/>
      <c r="O48" s="196"/>
      <c r="P48" s="196"/>
      <c r="Q48" s="151"/>
      <c r="R48" s="150" t="s">
        <v>474</v>
      </c>
      <c r="S48" s="150"/>
      <c r="T48" s="196"/>
      <c r="U48" s="196"/>
      <c r="V48" s="197"/>
    </row>
    <row r="49" spans="2:22" ht="15" customHeight="1">
      <c r="B49" s="135"/>
      <c r="C49" s="136" t="s">
        <v>83</v>
      </c>
      <c r="D49" s="136" t="s">
        <v>84</v>
      </c>
      <c r="E49" s="136"/>
      <c r="F49" s="136"/>
      <c r="G49" s="136"/>
      <c r="H49" s="136"/>
      <c r="I49" s="136"/>
      <c r="J49" s="136"/>
      <c r="K49" s="136"/>
      <c r="L49" s="137" t="s">
        <v>34</v>
      </c>
      <c r="M49" s="635">
        <f>M27</f>
        <v>34170</v>
      </c>
      <c r="N49" s="635"/>
      <c r="O49" s="635"/>
      <c r="P49" s="635"/>
      <c r="Q49" s="198"/>
      <c r="R49" s="634">
        <f>M44</f>
        <v>55720</v>
      </c>
      <c r="S49" s="635"/>
      <c r="T49" s="635"/>
      <c r="U49" s="635"/>
      <c r="V49" s="199"/>
    </row>
    <row r="50" spans="2:22" ht="16.5" customHeight="1">
      <c r="B50" s="135"/>
      <c r="C50" s="136" t="s">
        <v>85</v>
      </c>
      <c r="D50" s="136" t="s">
        <v>86</v>
      </c>
      <c r="E50" s="136"/>
      <c r="F50" s="136"/>
      <c r="G50" s="136"/>
      <c r="H50" s="136"/>
      <c r="I50" s="136"/>
      <c r="J50" s="136"/>
      <c r="K50" s="136"/>
      <c r="L50" s="137" t="s">
        <v>34</v>
      </c>
      <c r="M50" s="674"/>
      <c r="N50" s="675"/>
      <c r="O50" s="675"/>
      <c r="P50" s="675"/>
      <c r="Q50" s="198"/>
      <c r="R50" s="676"/>
      <c r="S50" s="675"/>
      <c r="T50" s="675"/>
      <c r="U50" s="675"/>
      <c r="V50" s="199"/>
    </row>
    <row r="51" spans="2:22" ht="15" customHeight="1">
      <c r="B51" s="138"/>
      <c r="C51" s="142" t="s">
        <v>87</v>
      </c>
      <c r="D51" s="142" t="s">
        <v>88</v>
      </c>
      <c r="E51" s="142"/>
      <c r="F51" s="142"/>
      <c r="G51" s="142"/>
      <c r="H51" s="142"/>
      <c r="I51" s="142"/>
      <c r="J51" s="142"/>
      <c r="K51" s="142"/>
      <c r="L51" s="143"/>
      <c r="M51" s="186"/>
      <c r="N51" s="162"/>
      <c r="O51" s="162"/>
      <c r="P51" s="162"/>
      <c r="Q51" s="163"/>
      <c r="R51" s="186"/>
      <c r="S51" s="162"/>
      <c r="T51" s="162"/>
      <c r="U51" s="162"/>
      <c r="V51" s="200"/>
    </row>
    <row r="52" spans="2:22" ht="15" customHeight="1">
      <c r="B52" s="140"/>
      <c r="C52" s="148"/>
      <c r="D52" s="148" t="s">
        <v>475</v>
      </c>
      <c r="E52" s="148"/>
      <c r="F52" s="148"/>
      <c r="G52" s="148"/>
      <c r="H52" s="148"/>
      <c r="I52" s="148"/>
      <c r="J52" s="148"/>
      <c r="K52" s="148"/>
      <c r="L52" s="149" t="s">
        <v>34</v>
      </c>
      <c r="M52" s="662"/>
      <c r="N52" s="663"/>
      <c r="O52" s="663"/>
      <c r="P52" s="663"/>
      <c r="Q52" s="151"/>
      <c r="R52" s="662"/>
      <c r="S52" s="663"/>
      <c r="T52" s="663"/>
      <c r="U52" s="663"/>
      <c r="V52" s="197"/>
    </row>
    <row r="53" spans="2:22" ht="15" customHeight="1">
      <c r="B53" s="135"/>
      <c r="C53" s="136" t="s">
        <v>89</v>
      </c>
      <c r="D53" s="136" t="s">
        <v>90</v>
      </c>
      <c r="E53" s="136"/>
      <c r="F53" s="136"/>
      <c r="G53" s="136"/>
      <c r="H53" s="136"/>
      <c r="I53" s="136"/>
      <c r="J53" s="136"/>
      <c r="K53" s="136"/>
      <c r="L53" s="137" t="s">
        <v>34</v>
      </c>
      <c r="M53" s="634">
        <f>Data!L23</f>
        <v>15</v>
      </c>
      <c r="N53" s="635"/>
      <c r="O53" s="635"/>
      <c r="P53" s="635"/>
      <c r="Q53" s="198"/>
      <c r="R53" s="634">
        <f>M53</f>
        <v>15</v>
      </c>
      <c r="S53" s="635"/>
      <c r="T53" s="635"/>
      <c r="U53" s="635"/>
      <c r="V53" s="199"/>
    </row>
    <row r="54" spans="2:22" ht="15" customHeight="1">
      <c r="B54" s="139"/>
      <c r="C54" s="145" t="s">
        <v>91</v>
      </c>
      <c r="D54" s="145" t="s">
        <v>92</v>
      </c>
      <c r="E54" s="145"/>
      <c r="F54" s="145"/>
      <c r="G54" s="145"/>
      <c r="H54" s="145"/>
      <c r="I54" s="145"/>
      <c r="J54" s="145"/>
      <c r="K54" s="145"/>
      <c r="L54" s="146" t="s">
        <v>34</v>
      </c>
      <c r="M54" s="664">
        <f>Data!M24</f>
        <v>20</v>
      </c>
      <c r="N54" s="665"/>
      <c r="O54" s="665"/>
      <c r="P54" s="665"/>
      <c r="Q54" s="141"/>
      <c r="R54" s="664">
        <f>M54</f>
        <v>20</v>
      </c>
      <c r="S54" s="665"/>
      <c r="T54" s="665"/>
      <c r="U54" s="665"/>
      <c r="V54" s="201"/>
    </row>
    <row r="55" spans="2:22" ht="15" customHeight="1">
      <c r="B55" s="135"/>
      <c r="C55" s="136" t="s">
        <v>93</v>
      </c>
      <c r="D55" s="136" t="s">
        <v>94</v>
      </c>
      <c r="E55" s="136"/>
      <c r="F55" s="136"/>
      <c r="G55" s="136"/>
      <c r="H55" s="136"/>
      <c r="I55" s="136"/>
      <c r="J55" s="136"/>
      <c r="K55" s="136"/>
      <c r="L55" s="137" t="s">
        <v>34</v>
      </c>
      <c r="M55" s="634">
        <f>M33</f>
        <v>10384.946399999999</v>
      </c>
      <c r="N55" s="635"/>
      <c r="O55" s="635"/>
      <c r="P55" s="635"/>
      <c r="Q55" s="198"/>
      <c r="R55" s="627">
        <f>[1]Data.!I13</f>
        <v>0</v>
      </c>
      <c r="S55" s="628"/>
      <c r="T55" s="628"/>
      <c r="U55" s="628"/>
      <c r="V55" s="199"/>
    </row>
    <row r="56" spans="2:22" ht="15" customHeight="1">
      <c r="B56" s="135"/>
      <c r="C56" s="136" t="s">
        <v>95</v>
      </c>
      <c r="D56" s="136" t="s">
        <v>96</v>
      </c>
      <c r="E56" s="136"/>
      <c r="F56" s="136"/>
      <c r="G56" s="136"/>
      <c r="H56" s="136"/>
      <c r="I56" s="136"/>
      <c r="J56" s="276"/>
      <c r="K56" s="136"/>
      <c r="L56" s="137" t="s">
        <v>34</v>
      </c>
      <c r="M56" s="636">
        <f>IF(Data!AX214=30,MIN(ROUND(M49*Data!AX214%,0.1),20000),MIN(ROUND(M49*Data!AX214%,0.1),15000))</f>
        <v>10251</v>
      </c>
      <c r="N56" s="637"/>
      <c r="O56" s="637"/>
      <c r="P56" s="637"/>
      <c r="Q56" s="280"/>
      <c r="R56" s="636">
        <f>IF(Data!AX214=30,MIN(ROUND(R49*Data!BA214%,0.1),20000),MIN(ROUND(R49*Data!BA214%,0.1),15000))</f>
        <v>13373</v>
      </c>
      <c r="S56" s="637"/>
      <c r="T56" s="637"/>
      <c r="U56" s="637"/>
      <c r="V56" s="199"/>
    </row>
    <row r="57" spans="2:22" ht="15" customHeight="1">
      <c r="B57" s="135"/>
      <c r="C57" s="136" t="s">
        <v>97</v>
      </c>
      <c r="D57" s="136" t="s">
        <v>98</v>
      </c>
      <c r="E57" s="136"/>
      <c r="F57" s="136"/>
      <c r="G57" s="136"/>
      <c r="H57" s="136"/>
      <c r="I57" s="136"/>
      <c r="J57" s="136"/>
      <c r="K57" s="136"/>
      <c r="L57" s="137" t="s">
        <v>34</v>
      </c>
      <c r="M57" s="636">
        <f>Data!BJ212</f>
        <v>0</v>
      </c>
      <c r="N57" s="637"/>
      <c r="O57" s="637"/>
      <c r="P57" s="637"/>
      <c r="Q57" s="280"/>
      <c r="R57" s="636">
        <f>M57</f>
        <v>0</v>
      </c>
      <c r="S57" s="637"/>
      <c r="T57" s="637"/>
      <c r="U57" s="637"/>
      <c r="V57" s="199"/>
    </row>
    <row r="58" spans="2:22" ht="15" customHeight="1">
      <c r="B58" s="135"/>
      <c r="C58" s="136" t="s">
        <v>99</v>
      </c>
      <c r="D58" s="136" t="s">
        <v>100</v>
      </c>
      <c r="E58" s="136"/>
      <c r="F58" s="136"/>
      <c r="G58" s="136"/>
      <c r="H58" s="136"/>
      <c r="I58" s="136"/>
      <c r="J58" s="136"/>
      <c r="K58" s="136"/>
      <c r="L58" s="137" t="s">
        <v>34</v>
      </c>
      <c r="M58" s="627">
        <v>0</v>
      </c>
      <c r="N58" s="628"/>
      <c r="O58" s="628"/>
      <c r="P58" s="628"/>
      <c r="Q58" s="198"/>
      <c r="R58" s="627">
        <f>M58</f>
        <v>0</v>
      </c>
      <c r="S58" s="628"/>
      <c r="T58" s="628"/>
      <c r="U58" s="628"/>
      <c r="V58" s="199"/>
    </row>
    <row r="59" spans="2:22" ht="15" customHeight="1">
      <c r="B59" s="135"/>
      <c r="C59" s="136" t="s">
        <v>101</v>
      </c>
      <c r="D59" s="136" t="s">
        <v>102</v>
      </c>
      <c r="E59" s="136"/>
      <c r="F59" s="136"/>
      <c r="G59" s="136"/>
      <c r="H59" s="136"/>
      <c r="I59" s="136"/>
      <c r="J59" s="136"/>
      <c r="K59" s="136"/>
      <c r="L59" s="137"/>
      <c r="M59" s="666">
        <f>Data!F23</f>
        <v>390</v>
      </c>
      <c r="N59" s="667"/>
      <c r="O59" s="667"/>
      <c r="P59" s="667"/>
      <c r="Q59" s="198"/>
      <c r="R59" s="666">
        <f>M59</f>
        <v>390</v>
      </c>
      <c r="S59" s="667"/>
      <c r="T59" s="667"/>
      <c r="U59" s="667"/>
      <c r="V59" s="199"/>
    </row>
    <row r="60" spans="2:22" ht="15" customHeight="1" thickBot="1">
      <c r="B60" s="135"/>
      <c r="C60" s="136" t="s">
        <v>103</v>
      </c>
      <c r="D60" s="136" t="s">
        <v>104</v>
      </c>
      <c r="E60" s="136"/>
      <c r="F60" s="136"/>
      <c r="G60" s="136"/>
      <c r="H60" s="136"/>
      <c r="I60" s="136"/>
      <c r="J60" s="136"/>
      <c r="K60" s="136"/>
      <c r="L60" s="137" t="s">
        <v>34</v>
      </c>
      <c r="M60" s="659" t="s">
        <v>3</v>
      </c>
      <c r="N60" s="660"/>
      <c r="O60" s="660"/>
      <c r="P60" s="660"/>
      <c r="Q60" s="198"/>
      <c r="R60" s="634">
        <v>0</v>
      </c>
      <c r="S60" s="635"/>
      <c r="T60" s="635"/>
      <c r="U60" s="635"/>
      <c r="V60" s="199"/>
    </row>
    <row r="61" spans="2:22" ht="18" customHeight="1" thickBot="1">
      <c r="B61" s="202"/>
      <c r="C61" s="203"/>
      <c r="D61" s="204" t="s">
        <v>105</v>
      </c>
      <c r="E61" s="203"/>
      <c r="F61" s="203"/>
      <c r="G61" s="203"/>
      <c r="H61" s="203"/>
      <c r="I61" s="203"/>
      <c r="J61" s="203"/>
      <c r="K61" s="203"/>
      <c r="L61" s="181" t="s">
        <v>34</v>
      </c>
      <c r="M61" s="661">
        <f>SUM(M49:P60)-M59</f>
        <v>54840.946400000001</v>
      </c>
      <c r="N61" s="629"/>
      <c r="O61" s="629"/>
      <c r="P61" s="629"/>
      <c r="Q61" s="205"/>
      <c r="R61" s="661">
        <f>SUM(R49:U60)-R59</f>
        <v>69128</v>
      </c>
      <c r="S61" s="629"/>
      <c r="T61" s="629"/>
      <c r="U61" s="629"/>
      <c r="V61" s="206"/>
    </row>
    <row r="62" spans="2:22" ht="18" customHeight="1" thickBot="1">
      <c r="B62" s="202"/>
      <c r="C62" s="203"/>
      <c r="D62" s="204" t="s">
        <v>106</v>
      </c>
      <c r="E62" s="203"/>
      <c r="F62" s="203"/>
      <c r="G62" s="203"/>
      <c r="H62" s="203"/>
      <c r="I62" s="203"/>
      <c r="J62" s="203"/>
      <c r="K62" s="203"/>
      <c r="L62" s="207" t="s">
        <v>34</v>
      </c>
      <c r="M62" s="629">
        <f>R61-M61</f>
        <v>14287.053599999999</v>
      </c>
      <c r="N62" s="629"/>
      <c r="O62" s="629"/>
      <c r="P62" s="629"/>
      <c r="Q62" s="629"/>
      <c r="R62" s="629"/>
      <c r="S62" s="629"/>
      <c r="T62" s="629"/>
      <c r="U62" s="629"/>
      <c r="V62" s="206"/>
    </row>
    <row r="63" spans="2:22" ht="18" customHeight="1">
      <c r="B63" s="139" t="s">
        <v>107</v>
      </c>
      <c r="C63" s="145" t="s">
        <v>108</v>
      </c>
      <c r="D63" s="145"/>
      <c r="E63" s="145"/>
      <c r="F63" s="145"/>
      <c r="G63" s="145"/>
      <c r="H63" s="145"/>
      <c r="I63" s="145"/>
      <c r="J63" s="145"/>
      <c r="K63" s="145"/>
      <c r="L63" s="146"/>
      <c r="M63" s="157"/>
      <c r="N63" s="147"/>
      <c r="O63" s="147"/>
      <c r="P63" s="147"/>
      <c r="Q63" s="147"/>
      <c r="R63" s="147"/>
      <c r="S63" s="147"/>
      <c r="T63" s="147"/>
      <c r="U63" s="147"/>
      <c r="V63" s="201"/>
    </row>
    <row r="64" spans="2:22" ht="18" customHeight="1">
      <c r="B64" s="140"/>
      <c r="C64" s="148" t="s">
        <v>476</v>
      </c>
      <c r="D64" s="148"/>
      <c r="E64" s="148"/>
      <c r="F64" s="148"/>
      <c r="G64" s="148"/>
      <c r="H64" s="148"/>
      <c r="I64" s="148"/>
      <c r="J64" s="148"/>
      <c r="K64" s="148"/>
      <c r="L64" s="149" t="s">
        <v>34</v>
      </c>
      <c r="M64" s="630"/>
      <c r="N64" s="631"/>
      <c r="O64" s="631"/>
      <c r="P64" s="631"/>
      <c r="Q64" s="208"/>
      <c r="R64" s="208"/>
      <c r="S64" s="208"/>
      <c r="T64" s="208"/>
      <c r="U64" s="208"/>
      <c r="V64" s="209"/>
    </row>
    <row r="65" spans="2:23" ht="18" customHeight="1">
      <c r="B65" s="159" t="s">
        <v>109</v>
      </c>
      <c r="C65" s="142" t="s">
        <v>482</v>
      </c>
      <c r="D65" s="142"/>
      <c r="E65" s="142"/>
      <c r="F65" s="142"/>
      <c r="G65" s="142"/>
      <c r="H65" s="142"/>
      <c r="I65" s="142"/>
      <c r="J65" s="142"/>
      <c r="K65" s="142"/>
      <c r="L65" s="143"/>
      <c r="M65" s="632">
        <f>R49</f>
        <v>55720</v>
      </c>
      <c r="N65" s="633"/>
      <c r="O65" s="633"/>
      <c r="P65" s="633"/>
      <c r="Q65" s="162"/>
      <c r="R65" s="162"/>
      <c r="S65" s="162"/>
      <c r="T65" s="162"/>
      <c r="U65" s="162"/>
      <c r="V65" s="200"/>
    </row>
    <row r="66" spans="2:23" ht="18" customHeight="1">
      <c r="B66" s="140"/>
      <c r="C66" s="148" t="s">
        <v>110</v>
      </c>
      <c r="D66" s="148"/>
      <c r="E66" s="148"/>
      <c r="F66" s="148"/>
      <c r="G66" s="148"/>
      <c r="H66" s="148"/>
      <c r="I66" s="148"/>
      <c r="J66" s="148"/>
      <c r="K66" s="148"/>
      <c r="L66" s="149" t="s">
        <v>34</v>
      </c>
      <c r="M66" s="630"/>
      <c r="N66" s="631"/>
      <c r="O66" s="631"/>
      <c r="P66" s="631"/>
      <c r="Q66" s="208"/>
      <c r="R66" s="208"/>
      <c r="S66" s="208"/>
      <c r="T66" s="208"/>
      <c r="U66" s="208"/>
      <c r="V66" s="209"/>
    </row>
    <row r="67" spans="2:23" ht="17.25" customHeight="1">
      <c r="B67" s="159" t="s">
        <v>111</v>
      </c>
      <c r="C67" s="142" t="s">
        <v>477</v>
      </c>
      <c r="D67" s="142"/>
      <c r="E67" s="142"/>
      <c r="F67" s="142"/>
      <c r="G67" s="142"/>
      <c r="H67" s="142"/>
      <c r="I67" s="142"/>
      <c r="J67" s="142"/>
      <c r="K67" s="142"/>
      <c r="L67" s="143"/>
      <c r="M67" s="618" t="s">
        <v>112</v>
      </c>
      <c r="N67" s="619"/>
      <c r="O67" s="619"/>
      <c r="P67" s="619"/>
      <c r="Q67" s="619"/>
      <c r="R67" s="619"/>
      <c r="S67" s="619"/>
      <c r="T67" s="619"/>
      <c r="U67" s="619"/>
      <c r="V67" s="620"/>
    </row>
    <row r="68" spans="2:23" ht="17.25" customHeight="1">
      <c r="B68" s="139"/>
      <c r="C68" s="145" t="s">
        <v>113</v>
      </c>
      <c r="D68" s="145"/>
      <c r="E68" s="145"/>
      <c r="F68" s="145"/>
      <c r="G68" s="145"/>
      <c r="H68" s="145"/>
      <c r="I68" s="145"/>
      <c r="J68" s="145"/>
      <c r="K68" s="145"/>
      <c r="L68" s="146"/>
      <c r="M68" s="621"/>
      <c r="N68" s="622"/>
      <c r="O68" s="622"/>
      <c r="P68" s="622"/>
      <c r="Q68" s="622"/>
      <c r="R68" s="622"/>
      <c r="S68" s="622"/>
      <c r="T68" s="622"/>
      <c r="U68" s="622"/>
      <c r="V68" s="623"/>
    </row>
    <row r="69" spans="2:23" ht="17.25" customHeight="1">
      <c r="B69" s="139"/>
      <c r="C69" s="145" t="s">
        <v>478</v>
      </c>
      <c r="D69" s="145"/>
      <c r="E69" s="145"/>
      <c r="F69" s="145"/>
      <c r="G69" s="145"/>
      <c r="H69" s="145"/>
      <c r="I69" s="145"/>
      <c r="J69" s="145"/>
      <c r="K69" s="145"/>
      <c r="L69" s="146"/>
      <c r="M69" s="621"/>
      <c r="N69" s="622"/>
      <c r="O69" s="622"/>
      <c r="P69" s="622"/>
      <c r="Q69" s="622"/>
      <c r="R69" s="622"/>
      <c r="S69" s="622"/>
      <c r="T69" s="622"/>
      <c r="U69" s="622"/>
      <c r="V69" s="623"/>
    </row>
    <row r="70" spans="2:23" ht="17.25" customHeight="1">
      <c r="B70" s="139"/>
      <c r="C70" s="145" t="s">
        <v>114</v>
      </c>
      <c r="D70" s="145"/>
      <c r="E70" s="145"/>
      <c r="F70" s="145"/>
      <c r="G70" s="145"/>
      <c r="H70" s="145"/>
      <c r="I70" s="145"/>
      <c r="J70" s="145"/>
      <c r="K70" s="145"/>
      <c r="L70" s="146"/>
      <c r="M70" s="621"/>
      <c r="N70" s="622"/>
      <c r="O70" s="622"/>
      <c r="P70" s="622"/>
      <c r="Q70" s="622"/>
      <c r="R70" s="622"/>
      <c r="S70" s="622"/>
      <c r="T70" s="622"/>
      <c r="U70" s="622"/>
      <c r="V70" s="623"/>
    </row>
    <row r="71" spans="2:23" ht="17.25" customHeight="1">
      <c r="B71" s="139"/>
      <c r="C71" s="145" t="s">
        <v>115</v>
      </c>
      <c r="D71" s="145"/>
      <c r="E71" s="145"/>
      <c r="F71" s="145"/>
      <c r="G71" s="145"/>
      <c r="H71" s="145"/>
      <c r="I71" s="145"/>
      <c r="J71" s="145"/>
      <c r="K71" s="145"/>
      <c r="L71" s="146"/>
      <c r="M71" s="621"/>
      <c r="N71" s="622"/>
      <c r="O71" s="622"/>
      <c r="P71" s="622"/>
      <c r="Q71" s="622"/>
      <c r="R71" s="622"/>
      <c r="S71" s="622"/>
      <c r="T71" s="622"/>
      <c r="U71" s="622"/>
      <c r="V71" s="623"/>
    </row>
    <row r="72" spans="2:23" ht="17.25" customHeight="1">
      <c r="B72" s="139"/>
      <c r="C72" s="145" t="s">
        <v>116</v>
      </c>
      <c r="D72" s="145"/>
      <c r="E72" s="145"/>
      <c r="F72" s="145"/>
      <c r="G72" s="145"/>
      <c r="H72" s="145"/>
      <c r="I72" s="145"/>
      <c r="J72" s="145"/>
      <c r="K72" s="145"/>
      <c r="L72" s="146"/>
      <c r="M72" s="624"/>
      <c r="N72" s="625"/>
      <c r="O72" s="625"/>
      <c r="P72" s="625"/>
      <c r="Q72" s="625"/>
      <c r="R72" s="625"/>
      <c r="S72" s="625"/>
      <c r="T72" s="625"/>
      <c r="U72" s="625"/>
      <c r="V72" s="626"/>
    </row>
    <row r="73" spans="2:23" ht="15.75" customHeight="1">
      <c r="B73" s="138">
        <v>13</v>
      </c>
      <c r="C73" s="142" t="s">
        <v>117</v>
      </c>
      <c r="D73" s="142"/>
      <c r="E73" s="142"/>
      <c r="F73" s="142"/>
      <c r="G73" s="142"/>
      <c r="H73" s="142"/>
      <c r="I73" s="142"/>
      <c r="J73" s="142"/>
      <c r="K73" s="142"/>
      <c r="L73" s="143" t="s">
        <v>34</v>
      </c>
      <c r="M73" s="610">
        <f>IF(Data!AF205=1,"",Proceeding!F28)</f>
        <v>43374</v>
      </c>
      <c r="N73" s="610"/>
      <c r="O73" s="610"/>
      <c r="P73" s="611">
        <f>IF(Data!AF205=1,"",Proceeding!J28)</f>
        <v>57220</v>
      </c>
      <c r="Q73" s="611"/>
      <c r="R73" s="611"/>
      <c r="S73" s="612" t="str">
        <f>IF(Data!AF205=1,"",Proceeding!K28)</f>
        <v>Increment</v>
      </c>
      <c r="T73" s="612"/>
      <c r="U73" s="612"/>
      <c r="V73" s="612"/>
      <c r="W73" s="184"/>
    </row>
    <row r="74" spans="2:23" ht="15.75" customHeight="1">
      <c r="B74" s="139"/>
      <c r="C74" s="145"/>
      <c r="D74" s="145"/>
      <c r="E74" s="145"/>
      <c r="F74" s="145"/>
      <c r="G74" s="145"/>
      <c r="H74" s="145"/>
      <c r="I74" s="145"/>
      <c r="J74" s="145"/>
      <c r="K74" s="145"/>
      <c r="L74" s="146" t="s">
        <v>34</v>
      </c>
      <c r="M74" s="610">
        <f>IF(Data!AF206=1,"",Proceeding!F29)</f>
        <v>43739</v>
      </c>
      <c r="N74" s="610"/>
      <c r="O74" s="610"/>
      <c r="P74" s="617">
        <f>IF(Data!AF206=1,"",Proceeding!J29)</f>
        <v>58850</v>
      </c>
      <c r="Q74" s="617"/>
      <c r="R74" s="617"/>
      <c r="S74" s="612" t="str">
        <f>IF(Data!AF206=1,"",Proceeding!K29)</f>
        <v>Increment</v>
      </c>
      <c r="T74" s="612"/>
      <c r="U74" s="612"/>
      <c r="V74" s="612"/>
      <c r="W74" s="184"/>
    </row>
    <row r="75" spans="2:23" ht="15.75" customHeight="1">
      <c r="B75" s="139"/>
      <c r="C75" s="145"/>
      <c r="D75" s="145"/>
      <c r="E75" s="145"/>
      <c r="F75" s="145"/>
      <c r="G75" s="145"/>
      <c r="H75" s="145"/>
      <c r="I75" s="145"/>
      <c r="J75" s="145"/>
      <c r="K75" s="145"/>
      <c r="L75" s="146" t="s">
        <v>34</v>
      </c>
      <c r="M75" s="610">
        <f>IF(Data!AF207=1,"",Proceeding!F30)</f>
        <v>44105</v>
      </c>
      <c r="N75" s="610"/>
      <c r="O75" s="610"/>
      <c r="P75" s="617">
        <f>IF(Data!AF207=1,"",Proceeding!J30)</f>
        <v>60480</v>
      </c>
      <c r="Q75" s="617"/>
      <c r="R75" s="617"/>
      <c r="S75" s="612" t="str">
        <f>IF(Data!AF207=1,"",Proceeding!K30)</f>
        <v>Increment</v>
      </c>
      <c r="T75" s="612"/>
      <c r="U75" s="612"/>
      <c r="V75" s="612"/>
      <c r="W75" s="184"/>
    </row>
    <row r="76" spans="2:23" ht="15.75" customHeight="1">
      <c r="B76" s="139"/>
      <c r="C76" s="145"/>
      <c r="D76" s="145"/>
      <c r="E76" s="145"/>
      <c r="F76" s="145"/>
      <c r="G76" s="145"/>
      <c r="H76" s="145"/>
      <c r="I76" s="145"/>
      <c r="J76" s="145"/>
      <c r="K76" s="145"/>
      <c r="L76" s="146"/>
      <c r="M76" s="610">
        <f>IF(Data!AF208=1,"",Proceeding!F31)</f>
        <v>44121</v>
      </c>
      <c r="N76" s="610"/>
      <c r="O76" s="610"/>
      <c r="P76" s="617">
        <f>IF(Data!AF208=1,"",Proceeding!J31)</f>
        <v>62110</v>
      </c>
      <c r="Q76" s="617"/>
      <c r="R76" s="617"/>
      <c r="S76" s="612" t="str">
        <f>IF(Data!AF208=1,"",Proceeding!K31)</f>
        <v>AAS 18yrs SPP-IB</v>
      </c>
      <c r="T76" s="612"/>
      <c r="U76" s="612"/>
      <c r="V76" s="612"/>
      <c r="W76" s="184"/>
    </row>
    <row r="77" spans="2:23" ht="15.75" customHeight="1">
      <c r="B77" s="139"/>
      <c r="C77" s="145"/>
      <c r="D77" s="145"/>
      <c r="E77" s="145"/>
      <c r="F77" s="145"/>
      <c r="G77" s="145"/>
      <c r="H77" s="145"/>
      <c r="I77" s="145"/>
      <c r="J77" s="145"/>
      <c r="K77" s="145"/>
      <c r="L77" s="146" t="s">
        <v>34</v>
      </c>
      <c r="M77" s="610" t="str">
        <f>IF(Data!AF209=1,"",Proceeding!F32)</f>
        <v/>
      </c>
      <c r="N77" s="610"/>
      <c r="O77" s="610"/>
      <c r="P77" s="617" t="str">
        <f>IF(Data!AF209=1,"",Proceeding!J32)</f>
        <v/>
      </c>
      <c r="Q77" s="617"/>
      <c r="R77" s="617"/>
      <c r="S77" s="612" t="str">
        <f>IF(Data!AF209=1,"",Proceeding!K32)</f>
        <v/>
      </c>
      <c r="T77" s="612"/>
      <c r="U77" s="612"/>
      <c r="V77" s="612"/>
      <c r="W77" s="184"/>
    </row>
    <row r="78" spans="2:23" ht="15.75" customHeight="1">
      <c r="B78" s="140"/>
      <c r="C78" s="148"/>
      <c r="D78" s="148"/>
      <c r="E78" s="148"/>
      <c r="F78" s="148"/>
      <c r="G78" s="148"/>
      <c r="H78" s="148"/>
      <c r="I78" s="148"/>
      <c r="J78" s="148"/>
      <c r="K78" s="148"/>
      <c r="L78" s="149"/>
      <c r="M78" s="654" t="s">
        <v>12</v>
      </c>
      <c r="N78" s="655"/>
      <c r="O78" s="655"/>
      <c r="P78" s="655"/>
      <c r="Q78" s="655"/>
      <c r="R78" s="655"/>
      <c r="S78" s="656"/>
      <c r="T78" s="657" t="str">
        <f>Proceeding!K33</f>
        <v>1.10.2021</v>
      </c>
      <c r="U78" s="657"/>
      <c r="V78" s="658"/>
      <c r="W78" s="184"/>
    </row>
    <row r="79" spans="2:23" ht="15" customHeight="1">
      <c r="B79" s="140">
        <v>14</v>
      </c>
      <c r="C79" s="148" t="s">
        <v>118</v>
      </c>
      <c r="D79" s="148"/>
      <c r="E79" s="148"/>
      <c r="F79" s="148"/>
      <c r="G79" s="148"/>
      <c r="H79" s="148"/>
      <c r="I79" s="148"/>
      <c r="J79" s="148"/>
      <c r="K79" s="148"/>
      <c r="L79" s="149" t="s">
        <v>34</v>
      </c>
      <c r="M79" s="210"/>
      <c r="N79" s="136"/>
      <c r="O79" s="136"/>
      <c r="P79" s="136"/>
      <c r="Q79" s="211"/>
      <c r="R79" s="211"/>
      <c r="S79" s="211"/>
      <c r="T79" s="136"/>
      <c r="U79" s="136"/>
      <c r="V79" s="212"/>
      <c r="W79" s="184"/>
    </row>
    <row r="80" spans="2:23" ht="19.5" customHeight="1">
      <c r="M80" s="131"/>
      <c r="N80" s="131"/>
      <c r="O80" s="131"/>
      <c r="P80" s="131"/>
      <c r="T80" s="131"/>
      <c r="U80" s="131"/>
      <c r="W80" s="184"/>
    </row>
    <row r="81" spans="2:23" ht="19.5" customHeight="1">
      <c r="M81" s="131"/>
      <c r="N81" s="131"/>
      <c r="O81" s="131"/>
      <c r="P81" s="131"/>
      <c r="T81" s="131"/>
      <c r="U81" s="131"/>
    </row>
    <row r="82" spans="2:23" ht="15.75" customHeight="1">
      <c r="B82" s="132" t="s">
        <v>119</v>
      </c>
      <c r="D82" s="653"/>
      <c r="E82" s="653"/>
      <c r="F82" s="653"/>
      <c r="G82" s="653"/>
      <c r="H82" s="653"/>
      <c r="I82" s="653"/>
      <c r="J82" s="653"/>
      <c r="K82" s="653"/>
      <c r="O82" s="127" t="s">
        <v>120</v>
      </c>
    </row>
    <row r="83" spans="2:23" ht="15.75" customHeight="1">
      <c r="B83" s="132" t="s">
        <v>121</v>
      </c>
      <c r="D83" s="641"/>
      <c r="E83" s="641"/>
      <c r="F83" s="641"/>
      <c r="G83" s="641"/>
      <c r="H83" s="641"/>
      <c r="O83" s="127" t="s">
        <v>122</v>
      </c>
    </row>
    <row r="84" spans="2:23" ht="14.25" customHeight="1"/>
    <row r="85" spans="2:23" ht="12.75" customHeight="1">
      <c r="B85" s="213" t="s">
        <v>123</v>
      </c>
      <c r="C85" s="4" t="s">
        <v>124</v>
      </c>
    </row>
    <row r="86" spans="2:23" ht="14.25" customHeight="1">
      <c r="C86" s="4" t="s">
        <v>125</v>
      </c>
    </row>
    <row r="87" spans="2:23" ht="15" customHeight="1"/>
    <row r="88" spans="2:23" ht="28.5" customHeight="1">
      <c r="B88" s="642" t="s">
        <v>126</v>
      </c>
      <c r="C88" s="642"/>
      <c r="D88" s="642"/>
      <c r="E88" s="642"/>
      <c r="F88" s="642"/>
      <c r="G88" s="642"/>
      <c r="H88" s="642"/>
      <c r="I88" s="642"/>
      <c r="J88" s="642"/>
      <c r="K88" s="642"/>
      <c r="L88" s="642"/>
      <c r="M88" s="642"/>
      <c r="N88" s="642"/>
      <c r="O88" s="642"/>
      <c r="P88" s="642"/>
      <c r="Q88" s="642"/>
      <c r="R88" s="642"/>
      <c r="S88" s="642"/>
      <c r="T88" s="642"/>
      <c r="U88" s="642"/>
      <c r="V88" s="642"/>
    </row>
    <row r="89" spans="2:23" ht="28.5" customHeight="1">
      <c r="B89" s="643" t="str">
        <f>B4</f>
        <v>(Circular Memo No. …………………………………….. dated: ………..2021)</v>
      </c>
      <c r="C89" s="643"/>
      <c r="D89" s="643"/>
      <c r="E89" s="643"/>
      <c r="F89" s="643"/>
      <c r="G89" s="643"/>
      <c r="H89" s="643"/>
      <c r="I89" s="643"/>
      <c r="J89" s="643"/>
      <c r="K89" s="643"/>
      <c r="L89" s="643"/>
      <c r="M89" s="643"/>
      <c r="N89" s="643"/>
      <c r="O89" s="643"/>
      <c r="P89" s="643"/>
      <c r="Q89" s="643"/>
      <c r="R89" s="643"/>
      <c r="S89" s="643"/>
      <c r="T89" s="643"/>
      <c r="U89" s="643"/>
      <c r="V89" s="643"/>
    </row>
    <row r="90" spans="2:23" ht="21" customHeight="1">
      <c r="B90" s="595"/>
      <c r="C90" s="595"/>
      <c r="D90" s="595"/>
      <c r="E90" s="595"/>
      <c r="F90" s="595"/>
      <c r="G90" s="595"/>
      <c r="H90" s="595"/>
      <c r="I90" s="595"/>
      <c r="J90" s="595"/>
      <c r="K90" s="595"/>
      <c r="L90" s="595"/>
      <c r="M90" s="595"/>
      <c r="N90" s="595"/>
      <c r="O90" s="595"/>
      <c r="P90" s="595"/>
      <c r="Q90" s="595"/>
      <c r="R90" s="595"/>
      <c r="S90" s="595"/>
      <c r="T90" s="595"/>
      <c r="U90" s="595"/>
      <c r="V90" s="595"/>
    </row>
    <row r="91" spans="2:23" ht="32.25" customHeight="1">
      <c r="B91" s="135">
        <v>1</v>
      </c>
      <c r="C91" s="136" t="s">
        <v>127</v>
      </c>
      <c r="D91" s="136"/>
      <c r="E91" s="136"/>
      <c r="F91" s="136"/>
      <c r="G91" s="136"/>
      <c r="H91" s="136"/>
      <c r="I91" s="136"/>
      <c r="J91" s="136"/>
      <c r="K91" s="136"/>
      <c r="L91" s="214"/>
      <c r="M91" s="215" t="s">
        <v>34</v>
      </c>
      <c r="N91" s="644" t="str">
        <f>Data!I17</f>
        <v>ZPHS Boys Domakonda</v>
      </c>
      <c r="O91" s="645"/>
      <c r="P91" s="645"/>
      <c r="Q91" s="645"/>
      <c r="R91" s="645"/>
      <c r="S91" s="645"/>
      <c r="T91" s="645"/>
      <c r="U91" s="645"/>
      <c r="V91" s="646"/>
    </row>
    <row r="92" spans="2:23" ht="32.25" customHeight="1">
      <c r="B92" s="135">
        <v>2</v>
      </c>
      <c r="C92" s="136" t="s">
        <v>128</v>
      </c>
      <c r="D92" s="136"/>
      <c r="E92" s="136"/>
      <c r="F92" s="136"/>
      <c r="G92" s="136"/>
      <c r="H92" s="136"/>
      <c r="I92" s="136"/>
      <c r="J92" s="136"/>
      <c r="K92" s="136"/>
      <c r="L92" s="214"/>
      <c r="M92" s="215" t="s">
        <v>34</v>
      </c>
      <c r="N92" s="644" t="str">
        <f>Data!I16</f>
        <v>Complex Headmaster</v>
      </c>
      <c r="O92" s="645"/>
      <c r="P92" s="645"/>
      <c r="Q92" s="645"/>
      <c r="R92" s="645"/>
      <c r="S92" s="645"/>
      <c r="T92" s="645"/>
      <c r="U92" s="645"/>
      <c r="V92" s="646"/>
      <c r="W92" s="184"/>
    </row>
    <row r="93" spans="2:23" ht="32.25" customHeight="1">
      <c r="B93" s="135">
        <v>3</v>
      </c>
      <c r="C93" s="136" t="s">
        <v>129</v>
      </c>
      <c r="D93" s="136"/>
      <c r="E93" s="136"/>
      <c r="F93" s="136"/>
      <c r="G93" s="136"/>
      <c r="H93" s="136"/>
      <c r="I93" s="136"/>
      <c r="J93" s="136"/>
      <c r="K93" s="136"/>
      <c r="L93" s="214"/>
      <c r="M93" s="215" t="s">
        <v>34</v>
      </c>
      <c r="N93" s="644" t="str">
        <f>CONCATENATE(Data!I4,",                                                      ",Data!I5)</f>
        <v>Putta Srinivas Reddy,                                                      Secondary Grade Teacher</v>
      </c>
      <c r="O93" s="645"/>
      <c r="P93" s="645"/>
      <c r="Q93" s="645"/>
      <c r="R93" s="645"/>
      <c r="S93" s="645"/>
      <c r="T93" s="645"/>
      <c r="U93" s="645"/>
      <c r="V93" s="646"/>
    </row>
    <row r="94" spans="2:23" ht="21" customHeight="1">
      <c r="B94" s="135">
        <v>4</v>
      </c>
      <c r="C94" s="136" t="s">
        <v>130</v>
      </c>
      <c r="D94" s="136"/>
      <c r="E94" s="136"/>
      <c r="F94" s="136"/>
      <c r="G94" s="136"/>
      <c r="H94" s="136"/>
      <c r="I94" s="136"/>
      <c r="J94" s="136"/>
      <c r="K94" s="136"/>
      <c r="L94" s="214"/>
      <c r="M94" s="215"/>
      <c r="N94" s="216"/>
      <c r="O94" s="217"/>
      <c r="P94" s="217"/>
      <c r="Q94" s="217"/>
      <c r="R94" s="217"/>
      <c r="S94" s="217"/>
      <c r="T94" s="217"/>
      <c r="U94" s="217"/>
      <c r="V94" s="198"/>
    </row>
    <row r="95" spans="2:23" ht="27.75" customHeight="1">
      <c r="B95" s="138"/>
      <c r="C95" s="142" t="s">
        <v>479</v>
      </c>
      <c r="D95" s="142"/>
      <c r="E95" s="142"/>
      <c r="F95" s="142"/>
      <c r="G95" s="142"/>
      <c r="H95" s="142"/>
      <c r="I95" s="142"/>
      <c r="J95" s="142"/>
      <c r="K95" s="142"/>
      <c r="L95" s="218"/>
      <c r="M95" s="219"/>
      <c r="N95" s="162"/>
      <c r="O95" s="162"/>
      <c r="P95" s="162"/>
      <c r="Q95" s="162"/>
      <c r="R95" s="162"/>
      <c r="S95" s="162"/>
      <c r="T95" s="162"/>
      <c r="U95" s="162"/>
      <c r="V95" s="163"/>
    </row>
    <row r="96" spans="2:23" ht="27.75" customHeight="1">
      <c r="B96" s="140"/>
      <c r="C96" s="148" t="s">
        <v>83</v>
      </c>
      <c r="D96" s="148" t="s">
        <v>425</v>
      </c>
      <c r="E96" s="148"/>
      <c r="F96" s="148"/>
      <c r="G96" s="148"/>
      <c r="H96" s="148"/>
      <c r="I96" s="148"/>
      <c r="J96" s="148"/>
      <c r="K96" s="148"/>
      <c r="L96" s="154"/>
      <c r="M96" s="220" t="s">
        <v>34</v>
      </c>
      <c r="N96" s="221" t="s">
        <v>131</v>
      </c>
      <c r="O96" s="208"/>
      <c r="P96" s="647">
        <f>Difference!AP30</f>
        <v>339411</v>
      </c>
      <c r="Q96" s="647"/>
      <c r="R96" s="647"/>
      <c r="S96" s="647"/>
      <c r="T96" s="647"/>
      <c r="U96" s="208"/>
      <c r="V96" s="209"/>
    </row>
    <row r="97" spans="2:24" ht="56.25" customHeight="1">
      <c r="B97" s="138"/>
      <c r="C97" s="142" t="s">
        <v>85</v>
      </c>
      <c r="D97" s="648" t="s">
        <v>481</v>
      </c>
      <c r="E97" s="648"/>
      <c r="F97" s="648"/>
      <c r="G97" s="648"/>
      <c r="H97" s="648"/>
      <c r="I97" s="648"/>
      <c r="J97" s="648"/>
      <c r="K97" s="648"/>
      <c r="L97" s="648"/>
      <c r="M97" s="219" t="s">
        <v>34</v>
      </c>
      <c r="N97" s="222" t="s">
        <v>131</v>
      </c>
      <c r="O97" s="223"/>
      <c r="P97" s="649">
        <f>Difference!AP47</f>
        <v>205186</v>
      </c>
      <c r="Q97" s="649"/>
      <c r="R97" s="649"/>
      <c r="S97" s="649"/>
      <c r="T97" s="649"/>
      <c r="U97" s="224"/>
      <c r="V97" s="225"/>
    </row>
    <row r="98" spans="2:24" ht="56.25" customHeight="1">
      <c r="B98" s="294"/>
      <c r="C98" s="142" t="s">
        <v>87</v>
      </c>
      <c r="D98" s="651" t="s">
        <v>480</v>
      </c>
      <c r="E98" s="651"/>
      <c r="F98" s="651"/>
      <c r="G98" s="651"/>
      <c r="H98" s="651"/>
      <c r="I98" s="651"/>
      <c r="J98" s="651"/>
      <c r="K98" s="651"/>
      <c r="L98" s="651"/>
      <c r="M98" s="219"/>
      <c r="N98" s="295" t="s">
        <v>131</v>
      </c>
      <c r="O98" s="223"/>
      <c r="P98" s="650">
        <f>Difference!AP54</f>
        <v>44459</v>
      </c>
      <c r="Q98" s="650"/>
      <c r="R98" s="650"/>
      <c r="S98" s="650"/>
      <c r="T98" s="650"/>
      <c r="U98" s="224"/>
      <c r="V98" s="225"/>
    </row>
    <row r="99" spans="2:24" ht="40.5" customHeight="1">
      <c r="B99" s="135"/>
      <c r="C99" s="136" t="s">
        <v>89</v>
      </c>
      <c r="D99" s="652" t="s">
        <v>483</v>
      </c>
      <c r="E99" s="652"/>
      <c r="F99" s="652"/>
      <c r="G99" s="652"/>
      <c r="H99" s="652"/>
      <c r="I99" s="652"/>
      <c r="J99" s="652"/>
      <c r="K99" s="652"/>
      <c r="L99" s="652"/>
      <c r="M99" s="215" t="s">
        <v>34</v>
      </c>
      <c r="N99" s="226" t="s">
        <v>131</v>
      </c>
      <c r="O99" s="224"/>
      <c r="P99" s="650">
        <f>Difference!AP60</f>
        <v>0</v>
      </c>
      <c r="Q99" s="650"/>
      <c r="R99" s="650"/>
      <c r="S99" s="650"/>
      <c r="T99" s="650"/>
      <c r="U99" s="224"/>
      <c r="V99" s="225"/>
    </row>
    <row r="100" spans="2:24" ht="21" customHeight="1"/>
    <row r="101" spans="2:24" ht="21" customHeight="1"/>
    <row r="102" spans="2:24" ht="21" customHeight="1"/>
    <row r="103" spans="2:24" ht="21" customHeight="1">
      <c r="B103" s="132" t="s">
        <v>132</v>
      </c>
      <c r="E103" s="227"/>
      <c r="F103" s="227"/>
      <c r="G103" s="227"/>
      <c r="H103" s="227"/>
      <c r="I103" s="227"/>
      <c r="J103" s="227"/>
      <c r="K103" s="227"/>
    </row>
    <row r="104" spans="2:24" ht="21" customHeight="1">
      <c r="B104" s="132" t="s">
        <v>133</v>
      </c>
    </row>
    <row r="105" spans="2:24" ht="21" customHeight="1">
      <c r="B105" s="132" t="s">
        <v>134</v>
      </c>
    </row>
    <row r="106" spans="2:24" ht="21" customHeight="1"/>
    <row r="107" spans="2:24" ht="21" customHeight="1"/>
    <row r="108" spans="2:24" ht="14.25" customHeight="1">
      <c r="B108" s="638" t="s">
        <v>322</v>
      </c>
      <c r="C108" s="639"/>
      <c r="D108" s="639"/>
      <c r="E108" s="639"/>
      <c r="F108" s="639"/>
      <c r="G108" s="639"/>
      <c r="H108" s="639"/>
      <c r="I108" s="639"/>
      <c r="J108" s="639"/>
      <c r="K108" s="639"/>
      <c r="L108" s="639"/>
      <c r="M108" s="639"/>
      <c r="N108" s="639"/>
      <c r="O108" s="639"/>
      <c r="P108" s="639"/>
      <c r="Q108" s="639"/>
      <c r="R108" s="639"/>
      <c r="S108" s="639"/>
      <c r="T108" s="639"/>
      <c r="U108" s="640"/>
      <c r="V108" s="6"/>
      <c r="W108" s="6"/>
      <c r="X108" s="6"/>
    </row>
    <row r="109" spans="2:24" ht="21" hidden="1" customHeight="1"/>
    <row r="110" spans="2:24" ht="21" hidden="1" customHeight="1"/>
    <row r="111" spans="2:24" ht="21" hidden="1" customHeight="1"/>
    <row r="112" spans="2:24" ht="21" hidden="1" customHeight="1"/>
    <row r="113" ht="21" hidden="1" customHeight="1"/>
    <row r="114" ht="21" hidden="1" customHeight="1"/>
    <row r="115" ht="21" hidden="1" customHeight="1"/>
    <row r="116" ht="21" hidden="1" customHeight="1"/>
    <row r="117" ht="21" hidden="1" customHeight="1"/>
    <row r="118" ht="21" hidden="1" customHeight="1"/>
    <row r="119" ht="21" hidden="1" customHeight="1"/>
    <row r="120" ht="21" hidden="1" customHeight="1"/>
    <row r="121" ht="21" hidden="1" customHeight="1"/>
    <row r="122" ht="21" hidden="1" customHeight="1"/>
    <row r="123" ht="21" hidden="1" customHeight="1"/>
    <row r="124" ht="21" hidden="1" customHeight="1"/>
    <row r="125" ht="21" hidden="1" customHeight="1"/>
    <row r="126" ht="21" hidden="1" customHeight="1"/>
    <row r="127" ht="21" hidden="1" customHeight="1"/>
    <row r="128" ht="21" hidden="1" customHeight="1"/>
    <row r="129" ht="21" hidden="1" customHeight="1"/>
    <row r="130" ht="21" hidden="1" customHeight="1"/>
    <row r="131" hidden="1"/>
    <row r="132"/>
    <row r="133"/>
    <row r="134"/>
    <row r="135"/>
  </sheetData>
  <sheetProtection password="D8E3" sheet="1" objects="1" scenarios="1" selectLockedCells="1"/>
  <protectedRanges>
    <protectedRange sqref="M31:Q36 T40:V72 R40:R72 B68:B69 D68:L69 R31:V39 B1:L67 V1:V30 M1:U10 M12:U30 Q78:R97 T78:V97 Q38:Q72 M38:M65 M67:M73 P73:P77 S74 S73 B70:L105 M98:V105 M74:O97 P78:P97 N38:O73 P38:P72 U73:U77 S40:S72 S76 S75 S77 S78:S97" name="Range1"/>
    <protectedRange sqref="C68:C69" name="Range1_1"/>
  </protectedRanges>
  <customSheetViews>
    <customSheetView guid="{F60E2261-838F-4117-A98D-7C5CFDCC0021}" showGridLines="0" showRowCol="0" hiddenRows="1" hiddenColumns="1">
      <selection activeCell="B4" sqref="B4:V4"/>
      <pageMargins left="0.59055118110236227" right="0.39370078740157483" top="0.59055118110236227" bottom="0.39370078740157483" header="0.31496062992125984" footer="0.31496062992125984"/>
      <pageSetup paperSize="9" orientation="portrait" r:id="rId1"/>
    </customSheetView>
    <customSheetView guid="{5633FAF7-B486-4D0B-84AB-497A2BE1B953}" showGridLines="0" showRowCol="0" hiddenRows="1" hiddenColumns="1">
      <selection activeCell="B4" sqref="B4:V4"/>
      <pageMargins left="0.59055118110236227" right="0.39370078740157483" top="0.59055118110236227" bottom="0.39370078740157483" header="0.31496062992125984" footer="0.31496062992125984"/>
      <pageSetup paperSize="9" orientation="portrait" r:id="rId2"/>
    </customSheetView>
  </customSheetViews>
  <mergeCells count="94">
    <mergeCell ref="B20:B21"/>
    <mergeCell ref="C20:L21"/>
    <mergeCell ref="M20:V21"/>
    <mergeCell ref="B1:V1"/>
    <mergeCell ref="B3:V3"/>
    <mergeCell ref="B4:V4"/>
    <mergeCell ref="M9:V9"/>
    <mergeCell ref="C10:L12"/>
    <mergeCell ref="M12:P12"/>
    <mergeCell ref="Q12:U12"/>
    <mergeCell ref="M13:V13"/>
    <mergeCell ref="C14:L15"/>
    <mergeCell ref="M14:V15"/>
    <mergeCell ref="M16:V16"/>
    <mergeCell ref="M18:V18"/>
    <mergeCell ref="M10:S11"/>
    <mergeCell ref="B41:B42"/>
    <mergeCell ref="C41:L42"/>
    <mergeCell ref="M41:V42"/>
    <mergeCell ref="M22:V22"/>
    <mergeCell ref="M23:V23"/>
    <mergeCell ref="C26:L27"/>
    <mergeCell ref="M27:Q27"/>
    <mergeCell ref="M29:Q29"/>
    <mergeCell ref="M33:Q33"/>
    <mergeCell ref="M35:Q35"/>
    <mergeCell ref="B36:B37"/>
    <mergeCell ref="C36:L37"/>
    <mergeCell ref="M36:Q37"/>
    <mergeCell ref="M38:Q38"/>
    <mergeCell ref="B43:B46"/>
    <mergeCell ref="M44:V44"/>
    <mergeCell ref="M49:P49"/>
    <mergeCell ref="R49:U49"/>
    <mergeCell ref="M50:P50"/>
    <mergeCell ref="R50:U50"/>
    <mergeCell ref="M60:P60"/>
    <mergeCell ref="R60:U60"/>
    <mergeCell ref="M61:P61"/>
    <mergeCell ref="R61:U61"/>
    <mergeCell ref="M52:P52"/>
    <mergeCell ref="R52:U52"/>
    <mergeCell ref="M53:P53"/>
    <mergeCell ref="R53:U53"/>
    <mergeCell ref="M54:P54"/>
    <mergeCell ref="R54:U54"/>
    <mergeCell ref="R56:U56"/>
    <mergeCell ref="M57:P57"/>
    <mergeCell ref="R57:U57"/>
    <mergeCell ref="M59:P59"/>
    <mergeCell ref="R59:U59"/>
    <mergeCell ref="D82:K82"/>
    <mergeCell ref="M78:S78"/>
    <mergeCell ref="T78:V78"/>
    <mergeCell ref="M75:O75"/>
    <mergeCell ref="M76:O76"/>
    <mergeCell ref="M77:O77"/>
    <mergeCell ref="S75:V75"/>
    <mergeCell ref="B108:U108"/>
    <mergeCell ref="D83:H83"/>
    <mergeCell ref="B88:V88"/>
    <mergeCell ref="B89:V89"/>
    <mergeCell ref="B90:V90"/>
    <mergeCell ref="N91:V91"/>
    <mergeCell ref="N92:V92"/>
    <mergeCell ref="N93:V93"/>
    <mergeCell ref="P96:T96"/>
    <mergeCell ref="D97:L97"/>
    <mergeCell ref="P97:T97"/>
    <mergeCell ref="P99:T99"/>
    <mergeCell ref="D98:L98"/>
    <mergeCell ref="P98:T98"/>
    <mergeCell ref="D99:L99"/>
    <mergeCell ref="T10:V11"/>
    <mergeCell ref="S76:V76"/>
    <mergeCell ref="S77:V77"/>
    <mergeCell ref="P74:R74"/>
    <mergeCell ref="P75:R75"/>
    <mergeCell ref="P76:R76"/>
    <mergeCell ref="P77:R77"/>
    <mergeCell ref="M67:V72"/>
    <mergeCell ref="M58:P58"/>
    <mergeCell ref="R58:U58"/>
    <mergeCell ref="M62:U62"/>
    <mergeCell ref="M64:P64"/>
    <mergeCell ref="M65:P66"/>
    <mergeCell ref="M55:P55"/>
    <mergeCell ref="R55:U55"/>
    <mergeCell ref="M56:P56"/>
    <mergeCell ref="M73:O73"/>
    <mergeCell ref="M74:O74"/>
    <mergeCell ref="P73:R73"/>
    <mergeCell ref="S73:V73"/>
    <mergeCell ref="S74:V74"/>
  </mergeCells>
  <pageMargins left="0.59055118110236227" right="0.39370078740157483" top="0.59055118110236227" bottom="0.39370078740157483" header="0.31496062992125984" footer="0.31496062992125984"/>
  <pageSetup paperSize="9" orientation="portrait" r:id="rId3"/>
</worksheet>
</file>

<file path=xl/worksheets/sheet5.xml><?xml version="1.0" encoding="utf-8"?>
<worksheet xmlns="http://schemas.openxmlformats.org/spreadsheetml/2006/main" xmlns:r="http://schemas.openxmlformats.org/officeDocument/2006/relationships">
  <sheetPr codeName="Sheet5">
    <tabColor rgb="FF7030A0"/>
  </sheetPr>
  <dimension ref="A1:WVN37"/>
  <sheetViews>
    <sheetView showGridLines="0" showRowColHeaders="0" workbookViewId="0">
      <selection activeCell="D8" sqref="D8"/>
    </sheetView>
  </sheetViews>
  <sheetFormatPr defaultColWidth="0" defaultRowHeight="12.75" zeroHeight="1"/>
  <cols>
    <col min="1" max="1" width="4.140625" style="4" customWidth="1"/>
    <col min="2" max="2" width="26.28515625" style="4" customWidth="1"/>
    <col min="3" max="3" width="18.28515625" style="4" customWidth="1"/>
    <col min="4" max="4" width="19.28515625" style="4" customWidth="1"/>
    <col min="5" max="5" width="18" style="4" customWidth="1"/>
    <col min="6" max="6" width="2.7109375" style="4" customWidth="1"/>
    <col min="7" max="256" width="0" style="4" hidden="1"/>
    <col min="257" max="257" width="4.140625" style="4" hidden="1" customWidth="1"/>
    <col min="258" max="258" width="26.28515625" style="4" hidden="1" customWidth="1"/>
    <col min="259" max="259" width="18.28515625" style="4" hidden="1" customWidth="1"/>
    <col min="260" max="260" width="19.28515625" style="4" hidden="1" customWidth="1"/>
    <col min="261" max="261" width="18" style="4" hidden="1" customWidth="1"/>
    <col min="262" max="262" width="2.7109375" style="4" hidden="1" customWidth="1"/>
    <col min="263" max="512" width="0" style="4" hidden="1"/>
    <col min="513" max="513" width="4.140625" style="4" hidden="1" customWidth="1"/>
    <col min="514" max="514" width="26.28515625" style="4" hidden="1" customWidth="1"/>
    <col min="515" max="515" width="18.28515625" style="4" hidden="1" customWidth="1"/>
    <col min="516" max="516" width="19.28515625" style="4" hidden="1" customWidth="1"/>
    <col min="517" max="517" width="18" style="4" hidden="1" customWidth="1"/>
    <col min="518" max="518" width="2.7109375" style="4" hidden="1" customWidth="1"/>
    <col min="519" max="768" width="0" style="4" hidden="1"/>
    <col min="769" max="769" width="4.140625" style="4" hidden="1" customWidth="1"/>
    <col min="770" max="770" width="26.28515625" style="4" hidden="1" customWidth="1"/>
    <col min="771" max="771" width="18.28515625" style="4" hidden="1" customWidth="1"/>
    <col min="772" max="772" width="19.28515625" style="4" hidden="1" customWidth="1"/>
    <col min="773" max="773" width="18" style="4" hidden="1" customWidth="1"/>
    <col min="774" max="774" width="2.7109375" style="4" hidden="1" customWidth="1"/>
    <col min="775" max="1024" width="0" style="4" hidden="1"/>
    <col min="1025" max="1025" width="4.140625" style="4" hidden="1" customWidth="1"/>
    <col min="1026" max="1026" width="26.28515625" style="4" hidden="1" customWidth="1"/>
    <col min="1027" max="1027" width="18.28515625" style="4" hidden="1" customWidth="1"/>
    <col min="1028" max="1028" width="19.28515625" style="4" hidden="1" customWidth="1"/>
    <col min="1029" max="1029" width="18" style="4" hidden="1" customWidth="1"/>
    <col min="1030" max="1030" width="2.7109375" style="4" hidden="1" customWidth="1"/>
    <col min="1031" max="1280" width="0" style="4" hidden="1"/>
    <col min="1281" max="1281" width="4.140625" style="4" hidden="1" customWidth="1"/>
    <col min="1282" max="1282" width="26.28515625" style="4" hidden="1" customWidth="1"/>
    <col min="1283" max="1283" width="18.28515625" style="4" hidden="1" customWidth="1"/>
    <col min="1284" max="1284" width="19.28515625" style="4" hidden="1" customWidth="1"/>
    <col min="1285" max="1285" width="18" style="4" hidden="1" customWidth="1"/>
    <col min="1286" max="1286" width="2.7109375" style="4" hidden="1" customWidth="1"/>
    <col min="1287" max="1536" width="0" style="4" hidden="1"/>
    <col min="1537" max="1537" width="4.140625" style="4" hidden="1" customWidth="1"/>
    <col min="1538" max="1538" width="26.28515625" style="4" hidden="1" customWidth="1"/>
    <col min="1539" max="1539" width="18.28515625" style="4" hidden="1" customWidth="1"/>
    <col min="1540" max="1540" width="19.28515625" style="4" hidden="1" customWidth="1"/>
    <col min="1541" max="1541" width="18" style="4" hidden="1" customWidth="1"/>
    <col min="1542" max="1542" width="2.7109375" style="4" hidden="1" customWidth="1"/>
    <col min="1543" max="1792" width="0" style="4" hidden="1"/>
    <col min="1793" max="1793" width="4.140625" style="4" hidden="1" customWidth="1"/>
    <col min="1794" max="1794" width="26.28515625" style="4" hidden="1" customWidth="1"/>
    <col min="1795" max="1795" width="18.28515625" style="4" hidden="1" customWidth="1"/>
    <col min="1796" max="1796" width="19.28515625" style="4" hidden="1" customWidth="1"/>
    <col min="1797" max="1797" width="18" style="4" hidden="1" customWidth="1"/>
    <col min="1798" max="1798" width="2.7109375" style="4" hidden="1" customWidth="1"/>
    <col min="1799" max="2048" width="0" style="4" hidden="1"/>
    <col min="2049" max="2049" width="4.140625" style="4" hidden="1" customWidth="1"/>
    <col min="2050" max="2050" width="26.28515625" style="4" hidden="1" customWidth="1"/>
    <col min="2051" max="2051" width="18.28515625" style="4" hidden="1" customWidth="1"/>
    <col min="2052" max="2052" width="19.28515625" style="4" hidden="1" customWidth="1"/>
    <col min="2053" max="2053" width="18" style="4" hidden="1" customWidth="1"/>
    <col min="2054" max="2054" width="2.7109375" style="4" hidden="1" customWidth="1"/>
    <col min="2055" max="2304" width="0" style="4" hidden="1"/>
    <col min="2305" max="2305" width="4.140625" style="4" hidden="1" customWidth="1"/>
    <col min="2306" max="2306" width="26.28515625" style="4" hidden="1" customWidth="1"/>
    <col min="2307" max="2307" width="18.28515625" style="4" hidden="1" customWidth="1"/>
    <col min="2308" max="2308" width="19.28515625" style="4" hidden="1" customWidth="1"/>
    <col min="2309" max="2309" width="18" style="4" hidden="1" customWidth="1"/>
    <col min="2310" max="2310" width="2.7109375" style="4" hidden="1" customWidth="1"/>
    <col min="2311" max="2560" width="0" style="4" hidden="1"/>
    <col min="2561" max="2561" width="4.140625" style="4" hidden="1" customWidth="1"/>
    <col min="2562" max="2562" width="26.28515625" style="4" hidden="1" customWidth="1"/>
    <col min="2563" max="2563" width="18.28515625" style="4" hidden="1" customWidth="1"/>
    <col min="2564" max="2564" width="19.28515625" style="4" hidden="1" customWidth="1"/>
    <col min="2565" max="2565" width="18" style="4" hidden="1" customWidth="1"/>
    <col min="2566" max="2566" width="2.7109375" style="4" hidden="1" customWidth="1"/>
    <col min="2567" max="2816" width="0" style="4" hidden="1"/>
    <col min="2817" max="2817" width="4.140625" style="4" hidden="1" customWidth="1"/>
    <col min="2818" max="2818" width="26.28515625" style="4" hidden="1" customWidth="1"/>
    <col min="2819" max="2819" width="18.28515625" style="4" hidden="1" customWidth="1"/>
    <col min="2820" max="2820" width="19.28515625" style="4" hidden="1" customWidth="1"/>
    <col min="2821" max="2821" width="18" style="4" hidden="1" customWidth="1"/>
    <col min="2822" max="2822" width="2.7109375" style="4" hidden="1" customWidth="1"/>
    <col min="2823" max="3072" width="0" style="4" hidden="1"/>
    <col min="3073" max="3073" width="4.140625" style="4" hidden="1" customWidth="1"/>
    <col min="3074" max="3074" width="26.28515625" style="4" hidden="1" customWidth="1"/>
    <col min="3075" max="3075" width="18.28515625" style="4" hidden="1" customWidth="1"/>
    <col min="3076" max="3076" width="19.28515625" style="4" hidden="1" customWidth="1"/>
    <col min="3077" max="3077" width="18" style="4" hidden="1" customWidth="1"/>
    <col min="3078" max="3078" width="2.7109375" style="4" hidden="1" customWidth="1"/>
    <col min="3079" max="3328" width="0" style="4" hidden="1"/>
    <col min="3329" max="3329" width="4.140625" style="4" hidden="1" customWidth="1"/>
    <col min="3330" max="3330" width="26.28515625" style="4" hidden="1" customWidth="1"/>
    <col min="3331" max="3331" width="18.28515625" style="4" hidden="1" customWidth="1"/>
    <col min="3332" max="3332" width="19.28515625" style="4" hidden="1" customWidth="1"/>
    <col min="3333" max="3333" width="18" style="4" hidden="1" customWidth="1"/>
    <col min="3334" max="3334" width="2.7109375" style="4" hidden="1" customWidth="1"/>
    <col min="3335" max="3584" width="0" style="4" hidden="1"/>
    <col min="3585" max="3585" width="4.140625" style="4" hidden="1" customWidth="1"/>
    <col min="3586" max="3586" width="26.28515625" style="4" hidden="1" customWidth="1"/>
    <col min="3587" max="3587" width="18.28515625" style="4" hidden="1" customWidth="1"/>
    <col min="3588" max="3588" width="19.28515625" style="4" hidden="1" customWidth="1"/>
    <col min="3589" max="3589" width="18" style="4" hidden="1" customWidth="1"/>
    <col min="3590" max="3590" width="2.7109375" style="4" hidden="1" customWidth="1"/>
    <col min="3591" max="3840" width="0" style="4" hidden="1"/>
    <col min="3841" max="3841" width="4.140625" style="4" hidden="1" customWidth="1"/>
    <col min="3842" max="3842" width="26.28515625" style="4" hidden="1" customWidth="1"/>
    <col min="3843" max="3843" width="18.28515625" style="4" hidden="1" customWidth="1"/>
    <col min="3844" max="3844" width="19.28515625" style="4" hidden="1" customWidth="1"/>
    <col min="3845" max="3845" width="18" style="4" hidden="1" customWidth="1"/>
    <col min="3846" max="3846" width="2.7109375" style="4" hidden="1" customWidth="1"/>
    <col min="3847" max="4096" width="0" style="4" hidden="1"/>
    <col min="4097" max="4097" width="4.140625" style="4" hidden="1" customWidth="1"/>
    <col min="4098" max="4098" width="26.28515625" style="4" hidden="1" customWidth="1"/>
    <col min="4099" max="4099" width="18.28515625" style="4" hidden="1" customWidth="1"/>
    <col min="4100" max="4100" width="19.28515625" style="4" hidden="1" customWidth="1"/>
    <col min="4101" max="4101" width="18" style="4" hidden="1" customWidth="1"/>
    <col min="4102" max="4102" width="2.7109375" style="4" hidden="1" customWidth="1"/>
    <col min="4103" max="4352" width="0" style="4" hidden="1"/>
    <col min="4353" max="4353" width="4.140625" style="4" hidden="1" customWidth="1"/>
    <col min="4354" max="4354" width="26.28515625" style="4" hidden="1" customWidth="1"/>
    <col min="4355" max="4355" width="18.28515625" style="4" hidden="1" customWidth="1"/>
    <col min="4356" max="4356" width="19.28515625" style="4" hidden="1" customWidth="1"/>
    <col min="4357" max="4357" width="18" style="4" hidden="1" customWidth="1"/>
    <col min="4358" max="4358" width="2.7109375" style="4" hidden="1" customWidth="1"/>
    <col min="4359" max="4608" width="0" style="4" hidden="1"/>
    <col min="4609" max="4609" width="4.140625" style="4" hidden="1" customWidth="1"/>
    <col min="4610" max="4610" width="26.28515625" style="4" hidden="1" customWidth="1"/>
    <col min="4611" max="4611" width="18.28515625" style="4" hidden="1" customWidth="1"/>
    <col min="4612" max="4612" width="19.28515625" style="4" hidden="1" customWidth="1"/>
    <col min="4613" max="4613" width="18" style="4" hidden="1" customWidth="1"/>
    <col min="4614" max="4614" width="2.7109375" style="4" hidden="1" customWidth="1"/>
    <col min="4615" max="4864" width="0" style="4" hidden="1"/>
    <col min="4865" max="4865" width="4.140625" style="4" hidden="1" customWidth="1"/>
    <col min="4866" max="4866" width="26.28515625" style="4" hidden="1" customWidth="1"/>
    <col min="4867" max="4867" width="18.28515625" style="4" hidden="1" customWidth="1"/>
    <col min="4868" max="4868" width="19.28515625" style="4" hidden="1" customWidth="1"/>
    <col min="4869" max="4869" width="18" style="4" hidden="1" customWidth="1"/>
    <col min="4870" max="4870" width="2.7109375" style="4" hidden="1" customWidth="1"/>
    <col min="4871" max="5120" width="0" style="4" hidden="1"/>
    <col min="5121" max="5121" width="4.140625" style="4" hidden="1" customWidth="1"/>
    <col min="5122" max="5122" width="26.28515625" style="4" hidden="1" customWidth="1"/>
    <col min="5123" max="5123" width="18.28515625" style="4" hidden="1" customWidth="1"/>
    <col min="5124" max="5124" width="19.28515625" style="4" hidden="1" customWidth="1"/>
    <col min="5125" max="5125" width="18" style="4" hidden="1" customWidth="1"/>
    <col min="5126" max="5126" width="2.7109375" style="4" hidden="1" customWidth="1"/>
    <col min="5127" max="5376" width="0" style="4" hidden="1"/>
    <col min="5377" max="5377" width="4.140625" style="4" hidden="1" customWidth="1"/>
    <col min="5378" max="5378" width="26.28515625" style="4" hidden="1" customWidth="1"/>
    <col min="5379" max="5379" width="18.28515625" style="4" hidden="1" customWidth="1"/>
    <col min="5380" max="5380" width="19.28515625" style="4" hidden="1" customWidth="1"/>
    <col min="5381" max="5381" width="18" style="4" hidden="1" customWidth="1"/>
    <col min="5382" max="5382" width="2.7109375" style="4" hidden="1" customWidth="1"/>
    <col min="5383" max="5632" width="0" style="4" hidden="1"/>
    <col min="5633" max="5633" width="4.140625" style="4" hidden="1" customWidth="1"/>
    <col min="5634" max="5634" width="26.28515625" style="4" hidden="1" customWidth="1"/>
    <col min="5635" max="5635" width="18.28515625" style="4" hidden="1" customWidth="1"/>
    <col min="5636" max="5636" width="19.28515625" style="4" hidden="1" customWidth="1"/>
    <col min="5637" max="5637" width="18" style="4" hidden="1" customWidth="1"/>
    <col min="5638" max="5638" width="2.7109375" style="4" hidden="1" customWidth="1"/>
    <col min="5639" max="5888" width="0" style="4" hidden="1"/>
    <col min="5889" max="5889" width="4.140625" style="4" hidden="1" customWidth="1"/>
    <col min="5890" max="5890" width="26.28515625" style="4" hidden="1" customWidth="1"/>
    <col min="5891" max="5891" width="18.28515625" style="4" hidden="1" customWidth="1"/>
    <col min="5892" max="5892" width="19.28515625" style="4" hidden="1" customWidth="1"/>
    <col min="5893" max="5893" width="18" style="4" hidden="1" customWidth="1"/>
    <col min="5894" max="5894" width="2.7109375" style="4" hidden="1" customWidth="1"/>
    <col min="5895" max="6144" width="0" style="4" hidden="1"/>
    <col min="6145" max="6145" width="4.140625" style="4" hidden="1" customWidth="1"/>
    <col min="6146" max="6146" width="26.28515625" style="4" hidden="1" customWidth="1"/>
    <col min="6147" max="6147" width="18.28515625" style="4" hidden="1" customWidth="1"/>
    <col min="6148" max="6148" width="19.28515625" style="4" hidden="1" customWidth="1"/>
    <col min="6149" max="6149" width="18" style="4" hidden="1" customWidth="1"/>
    <col min="6150" max="6150" width="2.7109375" style="4" hidden="1" customWidth="1"/>
    <col min="6151" max="6400" width="0" style="4" hidden="1"/>
    <col min="6401" max="6401" width="4.140625" style="4" hidden="1" customWidth="1"/>
    <col min="6402" max="6402" width="26.28515625" style="4" hidden="1" customWidth="1"/>
    <col min="6403" max="6403" width="18.28515625" style="4" hidden="1" customWidth="1"/>
    <col min="6404" max="6404" width="19.28515625" style="4" hidden="1" customWidth="1"/>
    <col min="6405" max="6405" width="18" style="4" hidden="1" customWidth="1"/>
    <col min="6406" max="6406" width="2.7109375" style="4" hidden="1" customWidth="1"/>
    <col min="6407" max="6656" width="0" style="4" hidden="1"/>
    <col min="6657" max="6657" width="4.140625" style="4" hidden="1" customWidth="1"/>
    <col min="6658" max="6658" width="26.28515625" style="4" hidden="1" customWidth="1"/>
    <col min="6659" max="6659" width="18.28515625" style="4" hidden="1" customWidth="1"/>
    <col min="6660" max="6660" width="19.28515625" style="4" hidden="1" customWidth="1"/>
    <col min="6661" max="6661" width="18" style="4" hidden="1" customWidth="1"/>
    <col min="6662" max="6662" width="2.7109375" style="4" hidden="1" customWidth="1"/>
    <col min="6663" max="6912" width="0" style="4" hidden="1"/>
    <col min="6913" max="6913" width="4.140625" style="4" hidden="1" customWidth="1"/>
    <col min="6914" max="6914" width="26.28515625" style="4" hidden="1" customWidth="1"/>
    <col min="6915" max="6915" width="18.28515625" style="4" hidden="1" customWidth="1"/>
    <col min="6916" max="6916" width="19.28515625" style="4" hidden="1" customWidth="1"/>
    <col min="6917" max="6917" width="18" style="4" hidden="1" customWidth="1"/>
    <col min="6918" max="6918" width="2.7109375" style="4" hidden="1" customWidth="1"/>
    <col min="6919" max="7168" width="0" style="4" hidden="1"/>
    <col min="7169" max="7169" width="4.140625" style="4" hidden="1" customWidth="1"/>
    <col min="7170" max="7170" width="26.28515625" style="4" hidden="1" customWidth="1"/>
    <col min="7171" max="7171" width="18.28515625" style="4" hidden="1" customWidth="1"/>
    <col min="7172" max="7172" width="19.28515625" style="4" hidden="1" customWidth="1"/>
    <col min="7173" max="7173" width="18" style="4" hidden="1" customWidth="1"/>
    <col min="7174" max="7174" width="2.7109375" style="4" hidden="1" customWidth="1"/>
    <col min="7175" max="7424" width="0" style="4" hidden="1"/>
    <col min="7425" max="7425" width="4.140625" style="4" hidden="1" customWidth="1"/>
    <col min="7426" max="7426" width="26.28515625" style="4" hidden="1" customWidth="1"/>
    <col min="7427" max="7427" width="18.28515625" style="4" hidden="1" customWidth="1"/>
    <col min="7428" max="7428" width="19.28515625" style="4" hidden="1" customWidth="1"/>
    <col min="7429" max="7429" width="18" style="4" hidden="1" customWidth="1"/>
    <col min="7430" max="7430" width="2.7109375" style="4" hidden="1" customWidth="1"/>
    <col min="7431" max="7680" width="0" style="4" hidden="1"/>
    <col min="7681" max="7681" width="4.140625" style="4" hidden="1" customWidth="1"/>
    <col min="7682" max="7682" width="26.28515625" style="4" hidden="1" customWidth="1"/>
    <col min="7683" max="7683" width="18.28515625" style="4" hidden="1" customWidth="1"/>
    <col min="7684" max="7684" width="19.28515625" style="4" hidden="1" customWidth="1"/>
    <col min="7685" max="7685" width="18" style="4" hidden="1" customWidth="1"/>
    <col min="7686" max="7686" width="2.7109375" style="4" hidden="1" customWidth="1"/>
    <col min="7687" max="7936" width="0" style="4" hidden="1"/>
    <col min="7937" max="7937" width="4.140625" style="4" hidden="1" customWidth="1"/>
    <col min="7938" max="7938" width="26.28515625" style="4" hidden="1" customWidth="1"/>
    <col min="7939" max="7939" width="18.28515625" style="4" hidden="1" customWidth="1"/>
    <col min="7940" max="7940" width="19.28515625" style="4" hidden="1" customWidth="1"/>
    <col min="7941" max="7941" width="18" style="4" hidden="1" customWidth="1"/>
    <col min="7942" max="7942" width="2.7109375" style="4" hidden="1" customWidth="1"/>
    <col min="7943" max="8192" width="0" style="4" hidden="1"/>
    <col min="8193" max="8193" width="4.140625" style="4" hidden="1" customWidth="1"/>
    <col min="8194" max="8194" width="26.28515625" style="4" hidden="1" customWidth="1"/>
    <col min="8195" max="8195" width="18.28515625" style="4" hidden="1" customWidth="1"/>
    <col min="8196" max="8196" width="19.28515625" style="4" hidden="1" customWidth="1"/>
    <col min="8197" max="8197" width="18" style="4" hidden="1" customWidth="1"/>
    <col min="8198" max="8198" width="2.7109375" style="4" hidden="1" customWidth="1"/>
    <col min="8199" max="8448" width="0" style="4" hidden="1"/>
    <col min="8449" max="8449" width="4.140625" style="4" hidden="1" customWidth="1"/>
    <col min="8450" max="8450" width="26.28515625" style="4" hidden="1" customWidth="1"/>
    <col min="8451" max="8451" width="18.28515625" style="4" hidden="1" customWidth="1"/>
    <col min="8452" max="8452" width="19.28515625" style="4" hidden="1" customWidth="1"/>
    <col min="8453" max="8453" width="18" style="4" hidden="1" customWidth="1"/>
    <col min="8454" max="8454" width="2.7109375" style="4" hidden="1" customWidth="1"/>
    <col min="8455" max="8704" width="0" style="4" hidden="1"/>
    <col min="8705" max="8705" width="4.140625" style="4" hidden="1" customWidth="1"/>
    <col min="8706" max="8706" width="26.28515625" style="4" hidden="1" customWidth="1"/>
    <col min="8707" max="8707" width="18.28515625" style="4" hidden="1" customWidth="1"/>
    <col min="8708" max="8708" width="19.28515625" style="4" hidden="1" customWidth="1"/>
    <col min="8709" max="8709" width="18" style="4" hidden="1" customWidth="1"/>
    <col min="8710" max="8710" width="2.7109375" style="4" hidden="1" customWidth="1"/>
    <col min="8711" max="8960" width="0" style="4" hidden="1"/>
    <col min="8961" max="8961" width="4.140625" style="4" hidden="1" customWidth="1"/>
    <col min="8962" max="8962" width="26.28515625" style="4" hidden="1" customWidth="1"/>
    <col min="8963" max="8963" width="18.28515625" style="4" hidden="1" customWidth="1"/>
    <col min="8964" max="8964" width="19.28515625" style="4" hidden="1" customWidth="1"/>
    <col min="8965" max="8965" width="18" style="4" hidden="1" customWidth="1"/>
    <col min="8966" max="8966" width="2.7109375" style="4" hidden="1" customWidth="1"/>
    <col min="8967" max="9216" width="0" style="4" hidden="1"/>
    <col min="9217" max="9217" width="4.140625" style="4" hidden="1" customWidth="1"/>
    <col min="9218" max="9218" width="26.28515625" style="4" hidden="1" customWidth="1"/>
    <col min="9219" max="9219" width="18.28515625" style="4" hidden="1" customWidth="1"/>
    <col min="9220" max="9220" width="19.28515625" style="4" hidden="1" customWidth="1"/>
    <col min="9221" max="9221" width="18" style="4" hidden="1" customWidth="1"/>
    <col min="9222" max="9222" width="2.7109375" style="4" hidden="1" customWidth="1"/>
    <col min="9223" max="9472" width="0" style="4" hidden="1"/>
    <col min="9473" max="9473" width="4.140625" style="4" hidden="1" customWidth="1"/>
    <col min="9474" max="9474" width="26.28515625" style="4" hidden="1" customWidth="1"/>
    <col min="9475" max="9475" width="18.28515625" style="4" hidden="1" customWidth="1"/>
    <col min="9476" max="9476" width="19.28515625" style="4" hidden="1" customWidth="1"/>
    <col min="9477" max="9477" width="18" style="4" hidden="1" customWidth="1"/>
    <col min="9478" max="9478" width="2.7109375" style="4" hidden="1" customWidth="1"/>
    <col min="9479" max="9728" width="0" style="4" hidden="1"/>
    <col min="9729" max="9729" width="4.140625" style="4" hidden="1" customWidth="1"/>
    <col min="9730" max="9730" width="26.28515625" style="4" hidden="1" customWidth="1"/>
    <col min="9731" max="9731" width="18.28515625" style="4" hidden="1" customWidth="1"/>
    <col min="9732" max="9732" width="19.28515625" style="4" hidden="1" customWidth="1"/>
    <col min="9733" max="9733" width="18" style="4" hidden="1" customWidth="1"/>
    <col min="9734" max="9734" width="2.7109375" style="4" hidden="1" customWidth="1"/>
    <col min="9735" max="9984" width="0" style="4" hidden="1"/>
    <col min="9985" max="9985" width="4.140625" style="4" hidden="1" customWidth="1"/>
    <col min="9986" max="9986" width="26.28515625" style="4" hidden="1" customWidth="1"/>
    <col min="9987" max="9987" width="18.28515625" style="4" hidden="1" customWidth="1"/>
    <col min="9988" max="9988" width="19.28515625" style="4" hidden="1" customWidth="1"/>
    <col min="9989" max="9989" width="18" style="4" hidden="1" customWidth="1"/>
    <col min="9990" max="9990" width="2.7109375" style="4" hidden="1" customWidth="1"/>
    <col min="9991" max="10240" width="0" style="4" hidden="1"/>
    <col min="10241" max="10241" width="4.140625" style="4" hidden="1" customWidth="1"/>
    <col min="10242" max="10242" width="26.28515625" style="4" hidden="1" customWidth="1"/>
    <col min="10243" max="10243" width="18.28515625" style="4" hidden="1" customWidth="1"/>
    <col min="10244" max="10244" width="19.28515625" style="4" hidden="1" customWidth="1"/>
    <col min="10245" max="10245" width="18" style="4" hidden="1" customWidth="1"/>
    <col min="10246" max="10246" width="2.7109375" style="4" hidden="1" customWidth="1"/>
    <col min="10247" max="10496" width="0" style="4" hidden="1"/>
    <col min="10497" max="10497" width="4.140625" style="4" hidden="1" customWidth="1"/>
    <col min="10498" max="10498" width="26.28515625" style="4" hidden="1" customWidth="1"/>
    <col min="10499" max="10499" width="18.28515625" style="4" hidden="1" customWidth="1"/>
    <col min="10500" max="10500" width="19.28515625" style="4" hidden="1" customWidth="1"/>
    <col min="10501" max="10501" width="18" style="4" hidden="1" customWidth="1"/>
    <col min="10502" max="10502" width="2.7109375" style="4" hidden="1" customWidth="1"/>
    <col min="10503" max="10752" width="0" style="4" hidden="1"/>
    <col min="10753" max="10753" width="4.140625" style="4" hidden="1" customWidth="1"/>
    <col min="10754" max="10754" width="26.28515625" style="4" hidden="1" customWidth="1"/>
    <col min="10755" max="10755" width="18.28515625" style="4" hidden="1" customWidth="1"/>
    <col min="10756" max="10756" width="19.28515625" style="4" hidden="1" customWidth="1"/>
    <col min="10757" max="10757" width="18" style="4" hidden="1" customWidth="1"/>
    <col min="10758" max="10758" width="2.7109375" style="4" hidden="1" customWidth="1"/>
    <col min="10759" max="11008" width="0" style="4" hidden="1"/>
    <col min="11009" max="11009" width="4.140625" style="4" hidden="1" customWidth="1"/>
    <col min="11010" max="11010" width="26.28515625" style="4" hidden="1" customWidth="1"/>
    <col min="11011" max="11011" width="18.28515625" style="4" hidden="1" customWidth="1"/>
    <col min="11012" max="11012" width="19.28515625" style="4" hidden="1" customWidth="1"/>
    <col min="11013" max="11013" width="18" style="4" hidden="1" customWidth="1"/>
    <col min="11014" max="11014" width="2.7109375" style="4" hidden="1" customWidth="1"/>
    <col min="11015" max="11264" width="0" style="4" hidden="1"/>
    <col min="11265" max="11265" width="4.140625" style="4" hidden="1" customWidth="1"/>
    <col min="11266" max="11266" width="26.28515625" style="4" hidden="1" customWidth="1"/>
    <col min="11267" max="11267" width="18.28515625" style="4" hidden="1" customWidth="1"/>
    <col min="11268" max="11268" width="19.28515625" style="4" hidden="1" customWidth="1"/>
    <col min="11269" max="11269" width="18" style="4" hidden="1" customWidth="1"/>
    <col min="11270" max="11270" width="2.7109375" style="4" hidden="1" customWidth="1"/>
    <col min="11271" max="11520" width="0" style="4" hidden="1"/>
    <col min="11521" max="11521" width="4.140625" style="4" hidden="1" customWidth="1"/>
    <col min="11522" max="11522" width="26.28515625" style="4" hidden="1" customWidth="1"/>
    <col min="11523" max="11523" width="18.28515625" style="4" hidden="1" customWidth="1"/>
    <col min="11524" max="11524" width="19.28515625" style="4" hidden="1" customWidth="1"/>
    <col min="11525" max="11525" width="18" style="4" hidden="1" customWidth="1"/>
    <col min="11526" max="11526" width="2.7109375" style="4" hidden="1" customWidth="1"/>
    <col min="11527" max="11776" width="0" style="4" hidden="1"/>
    <col min="11777" max="11777" width="4.140625" style="4" hidden="1" customWidth="1"/>
    <col min="11778" max="11778" width="26.28515625" style="4" hidden="1" customWidth="1"/>
    <col min="11779" max="11779" width="18.28515625" style="4" hidden="1" customWidth="1"/>
    <col min="11780" max="11780" width="19.28515625" style="4" hidden="1" customWidth="1"/>
    <col min="11781" max="11781" width="18" style="4" hidden="1" customWidth="1"/>
    <col min="11782" max="11782" width="2.7109375" style="4" hidden="1" customWidth="1"/>
    <col min="11783" max="12032" width="0" style="4" hidden="1"/>
    <col min="12033" max="12033" width="4.140625" style="4" hidden="1" customWidth="1"/>
    <col min="12034" max="12034" width="26.28515625" style="4" hidden="1" customWidth="1"/>
    <col min="12035" max="12035" width="18.28515625" style="4" hidden="1" customWidth="1"/>
    <col min="12036" max="12036" width="19.28515625" style="4" hidden="1" customWidth="1"/>
    <col min="12037" max="12037" width="18" style="4" hidden="1" customWidth="1"/>
    <col min="12038" max="12038" width="2.7109375" style="4" hidden="1" customWidth="1"/>
    <col min="12039" max="12288" width="0" style="4" hidden="1"/>
    <col min="12289" max="12289" width="4.140625" style="4" hidden="1" customWidth="1"/>
    <col min="12290" max="12290" width="26.28515625" style="4" hidden="1" customWidth="1"/>
    <col min="12291" max="12291" width="18.28515625" style="4" hidden="1" customWidth="1"/>
    <col min="12292" max="12292" width="19.28515625" style="4" hidden="1" customWidth="1"/>
    <col min="12293" max="12293" width="18" style="4" hidden="1" customWidth="1"/>
    <col min="12294" max="12294" width="2.7109375" style="4" hidden="1" customWidth="1"/>
    <col min="12295" max="12544" width="0" style="4" hidden="1"/>
    <col min="12545" max="12545" width="4.140625" style="4" hidden="1" customWidth="1"/>
    <col min="12546" max="12546" width="26.28515625" style="4" hidden="1" customWidth="1"/>
    <col min="12547" max="12547" width="18.28515625" style="4" hidden="1" customWidth="1"/>
    <col min="12548" max="12548" width="19.28515625" style="4" hidden="1" customWidth="1"/>
    <col min="12549" max="12549" width="18" style="4" hidden="1" customWidth="1"/>
    <col min="12550" max="12550" width="2.7109375" style="4" hidden="1" customWidth="1"/>
    <col min="12551" max="12800" width="0" style="4" hidden="1"/>
    <col min="12801" max="12801" width="4.140625" style="4" hidden="1" customWidth="1"/>
    <col min="12802" max="12802" width="26.28515625" style="4" hidden="1" customWidth="1"/>
    <col min="12803" max="12803" width="18.28515625" style="4" hidden="1" customWidth="1"/>
    <col min="12804" max="12804" width="19.28515625" style="4" hidden="1" customWidth="1"/>
    <col min="12805" max="12805" width="18" style="4" hidden="1" customWidth="1"/>
    <col min="12806" max="12806" width="2.7109375" style="4" hidden="1" customWidth="1"/>
    <col min="12807" max="13056" width="0" style="4" hidden="1"/>
    <col min="13057" max="13057" width="4.140625" style="4" hidden="1" customWidth="1"/>
    <col min="13058" max="13058" width="26.28515625" style="4" hidden="1" customWidth="1"/>
    <col min="13059" max="13059" width="18.28515625" style="4" hidden="1" customWidth="1"/>
    <col min="13060" max="13060" width="19.28515625" style="4" hidden="1" customWidth="1"/>
    <col min="13061" max="13061" width="18" style="4" hidden="1" customWidth="1"/>
    <col min="13062" max="13062" width="2.7109375" style="4" hidden="1" customWidth="1"/>
    <col min="13063" max="13312" width="0" style="4" hidden="1"/>
    <col min="13313" max="13313" width="4.140625" style="4" hidden="1" customWidth="1"/>
    <col min="13314" max="13314" width="26.28515625" style="4" hidden="1" customWidth="1"/>
    <col min="13315" max="13315" width="18.28515625" style="4" hidden="1" customWidth="1"/>
    <col min="13316" max="13316" width="19.28515625" style="4" hidden="1" customWidth="1"/>
    <col min="13317" max="13317" width="18" style="4" hidden="1" customWidth="1"/>
    <col min="13318" max="13318" width="2.7109375" style="4" hidden="1" customWidth="1"/>
    <col min="13319" max="13568" width="0" style="4" hidden="1"/>
    <col min="13569" max="13569" width="4.140625" style="4" hidden="1" customWidth="1"/>
    <col min="13570" max="13570" width="26.28515625" style="4" hidden="1" customWidth="1"/>
    <col min="13571" max="13571" width="18.28515625" style="4" hidden="1" customWidth="1"/>
    <col min="13572" max="13572" width="19.28515625" style="4" hidden="1" customWidth="1"/>
    <col min="13573" max="13573" width="18" style="4" hidden="1" customWidth="1"/>
    <col min="13574" max="13574" width="2.7109375" style="4" hidden="1" customWidth="1"/>
    <col min="13575" max="13824" width="0" style="4" hidden="1"/>
    <col min="13825" max="13825" width="4.140625" style="4" hidden="1" customWidth="1"/>
    <col min="13826" max="13826" width="26.28515625" style="4" hidden="1" customWidth="1"/>
    <col min="13827" max="13827" width="18.28515625" style="4" hidden="1" customWidth="1"/>
    <col min="13828" max="13828" width="19.28515625" style="4" hidden="1" customWidth="1"/>
    <col min="13829" max="13829" width="18" style="4" hidden="1" customWidth="1"/>
    <col min="13830" max="13830" width="2.7109375" style="4" hidden="1" customWidth="1"/>
    <col min="13831" max="14080" width="0" style="4" hidden="1"/>
    <col min="14081" max="14081" width="4.140625" style="4" hidden="1" customWidth="1"/>
    <col min="14082" max="14082" width="26.28515625" style="4" hidden="1" customWidth="1"/>
    <col min="14083" max="14083" width="18.28515625" style="4" hidden="1" customWidth="1"/>
    <col min="14084" max="14084" width="19.28515625" style="4" hidden="1" customWidth="1"/>
    <col min="14085" max="14085" width="18" style="4" hidden="1" customWidth="1"/>
    <col min="14086" max="14086" width="2.7109375" style="4" hidden="1" customWidth="1"/>
    <col min="14087" max="14336" width="0" style="4" hidden="1"/>
    <col min="14337" max="14337" width="4.140625" style="4" hidden="1" customWidth="1"/>
    <col min="14338" max="14338" width="26.28515625" style="4" hidden="1" customWidth="1"/>
    <col min="14339" max="14339" width="18.28515625" style="4" hidden="1" customWidth="1"/>
    <col min="14340" max="14340" width="19.28515625" style="4" hidden="1" customWidth="1"/>
    <col min="14341" max="14341" width="18" style="4" hidden="1" customWidth="1"/>
    <col min="14342" max="14342" width="2.7109375" style="4" hidden="1" customWidth="1"/>
    <col min="14343" max="14592" width="0" style="4" hidden="1"/>
    <col min="14593" max="14593" width="4.140625" style="4" hidden="1" customWidth="1"/>
    <col min="14594" max="14594" width="26.28515625" style="4" hidden="1" customWidth="1"/>
    <col min="14595" max="14595" width="18.28515625" style="4" hidden="1" customWidth="1"/>
    <col min="14596" max="14596" width="19.28515625" style="4" hidden="1" customWidth="1"/>
    <col min="14597" max="14597" width="18" style="4" hidden="1" customWidth="1"/>
    <col min="14598" max="14598" width="2.7109375" style="4" hidden="1" customWidth="1"/>
    <col min="14599" max="14848" width="0" style="4" hidden="1"/>
    <col min="14849" max="14849" width="4.140625" style="4" hidden="1" customWidth="1"/>
    <col min="14850" max="14850" width="26.28515625" style="4" hidden="1" customWidth="1"/>
    <col min="14851" max="14851" width="18.28515625" style="4" hidden="1" customWidth="1"/>
    <col min="14852" max="14852" width="19.28515625" style="4" hidden="1" customWidth="1"/>
    <col min="14853" max="14853" width="18" style="4" hidden="1" customWidth="1"/>
    <col min="14854" max="14854" width="2.7109375" style="4" hidden="1" customWidth="1"/>
    <col min="14855" max="15104" width="0" style="4" hidden="1"/>
    <col min="15105" max="15105" width="4.140625" style="4" hidden="1" customWidth="1"/>
    <col min="15106" max="15106" width="26.28515625" style="4" hidden="1" customWidth="1"/>
    <col min="15107" max="15107" width="18.28515625" style="4" hidden="1" customWidth="1"/>
    <col min="15108" max="15108" width="19.28515625" style="4" hidden="1" customWidth="1"/>
    <col min="15109" max="15109" width="18" style="4" hidden="1" customWidth="1"/>
    <col min="15110" max="15110" width="2.7109375" style="4" hidden="1" customWidth="1"/>
    <col min="15111" max="15360" width="0" style="4" hidden="1"/>
    <col min="15361" max="15361" width="4.140625" style="4" hidden="1" customWidth="1"/>
    <col min="15362" max="15362" width="26.28515625" style="4" hidden="1" customWidth="1"/>
    <col min="15363" max="15363" width="18.28515625" style="4" hidden="1" customWidth="1"/>
    <col min="15364" max="15364" width="19.28515625" style="4" hidden="1" customWidth="1"/>
    <col min="15365" max="15365" width="18" style="4" hidden="1" customWidth="1"/>
    <col min="15366" max="15366" width="2.7109375" style="4" hidden="1" customWidth="1"/>
    <col min="15367" max="15616" width="0" style="4" hidden="1"/>
    <col min="15617" max="15617" width="4.140625" style="4" hidden="1" customWidth="1"/>
    <col min="15618" max="15618" width="26.28515625" style="4" hidden="1" customWidth="1"/>
    <col min="15619" max="15619" width="18.28515625" style="4" hidden="1" customWidth="1"/>
    <col min="15620" max="15620" width="19.28515625" style="4" hidden="1" customWidth="1"/>
    <col min="15621" max="15621" width="18" style="4" hidden="1" customWidth="1"/>
    <col min="15622" max="15622" width="2.7109375" style="4" hidden="1" customWidth="1"/>
    <col min="15623" max="15872" width="0" style="4" hidden="1"/>
    <col min="15873" max="15873" width="4.140625" style="4" hidden="1" customWidth="1"/>
    <col min="15874" max="15874" width="26.28515625" style="4" hidden="1" customWidth="1"/>
    <col min="15875" max="15875" width="18.28515625" style="4" hidden="1" customWidth="1"/>
    <col min="15876" max="15876" width="19.28515625" style="4" hidden="1" customWidth="1"/>
    <col min="15877" max="15877" width="18" style="4" hidden="1" customWidth="1"/>
    <col min="15878" max="15878" width="2.7109375" style="4" hidden="1" customWidth="1"/>
    <col min="15879" max="16128" width="0" style="4" hidden="1"/>
    <col min="16129" max="16129" width="4.140625" style="4" hidden="1" customWidth="1"/>
    <col min="16130" max="16130" width="26.28515625" style="4" hidden="1" customWidth="1"/>
    <col min="16131" max="16131" width="18.28515625" style="4" hidden="1" customWidth="1"/>
    <col min="16132" max="16132" width="19.28515625" style="4" hidden="1" customWidth="1"/>
    <col min="16133" max="16133" width="18" style="4" hidden="1" customWidth="1"/>
    <col min="16134" max="16134" width="2.7109375" style="4" hidden="1" customWidth="1"/>
    <col min="16135" max="16384" width="0" style="4" hidden="1"/>
  </cols>
  <sheetData>
    <row r="1" spans="1:21" ht="15.75">
      <c r="A1" s="597" t="s">
        <v>135</v>
      </c>
      <c r="B1" s="597"/>
      <c r="C1" s="597"/>
      <c r="D1" s="597"/>
      <c r="E1" s="597"/>
    </row>
    <row r="2" spans="1:21" ht="15">
      <c r="A2" s="573" t="str">
        <f>Appendix!B89</f>
        <v>(Circular Memo No. …………………………………….. dated: ………..2021)</v>
      </c>
      <c r="B2" s="573"/>
      <c r="C2" s="573"/>
      <c r="D2" s="573"/>
      <c r="E2" s="573"/>
      <c r="F2" s="1"/>
      <c r="G2" s="1"/>
      <c r="H2" s="1"/>
      <c r="I2" s="1"/>
      <c r="J2" s="1"/>
      <c r="K2" s="1"/>
      <c r="L2" s="1"/>
      <c r="M2" s="1"/>
      <c r="N2" s="1"/>
      <c r="O2" s="1"/>
      <c r="P2" s="1"/>
      <c r="Q2" s="1"/>
      <c r="R2" s="1"/>
      <c r="S2" s="1"/>
      <c r="T2" s="1"/>
      <c r="U2" s="1"/>
    </row>
    <row r="3" spans="1:21"/>
    <row r="4" spans="1:21" ht="15.75">
      <c r="A4" s="7" t="s">
        <v>136</v>
      </c>
      <c r="D4" s="595"/>
      <c r="E4" s="595"/>
    </row>
    <row r="5" spans="1:21" ht="12" customHeight="1"/>
    <row r="6" spans="1:21" s="3" customFormat="1" ht="46.5" customHeight="1">
      <c r="A6" s="13" t="s">
        <v>137</v>
      </c>
      <c r="B6" s="13" t="s">
        <v>138</v>
      </c>
      <c r="C6" s="13" t="s">
        <v>139</v>
      </c>
      <c r="D6" s="13" t="s">
        <v>140</v>
      </c>
      <c r="E6" s="13" t="s">
        <v>141</v>
      </c>
    </row>
    <row r="7" spans="1:21" ht="16.5" customHeight="1">
      <c r="A7" s="14">
        <v>1</v>
      </c>
      <c r="B7" s="14">
        <v>2</v>
      </c>
      <c r="C7" s="14">
        <v>3</v>
      </c>
      <c r="D7" s="14">
        <v>4</v>
      </c>
      <c r="E7" s="14">
        <v>5</v>
      </c>
    </row>
    <row r="8" spans="1:21" s="7" customFormat="1" ht="57" customHeight="1">
      <c r="A8" s="15">
        <v>1</v>
      </c>
      <c r="B8" s="16" t="str">
        <f>Data!I4</f>
        <v>Putta Srinivas Reddy</v>
      </c>
      <c r="C8" s="16" t="str">
        <f>Data!I5</f>
        <v>Secondary Grade Teacher</v>
      </c>
      <c r="D8" s="16" t="s">
        <v>142</v>
      </c>
      <c r="E8" s="16"/>
    </row>
    <row r="9" spans="1:21"/>
    <row r="10" spans="1:21"/>
    <row r="11" spans="1:21"/>
    <row r="12" spans="1:21"/>
    <row r="13" spans="1:21">
      <c r="B13" s="18" t="s">
        <v>143</v>
      </c>
      <c r="D13" s="4" t="s">
        <v>144</v>
      </c>
    </row>
    <row r="14" spans="1:21">
      <c r="B14" s="18" t="s">
        <v>145</v>
      </c>
      <c r="D14" s="4" t="s">
        <v>146</v>
      </c>
    </row>
    <row r="15" spans="1:21">
      <c r="D15" s="4" t="s">
        <v>147</v>
      </c>
    </row>
    <row r="16" spans="1:21">
      <c r="D16" s="4" t="s">
        <v>148</v>
      </c>
    </row>
    <row r="17" spans="1:5"/>
    <row r="18" spans="1:5"/>
    <row r="19" spans="1:5"/>
    <row r="20" spans="1:5"/>
    <row r="21" spans="1:5"/>
    <row r="22" spans="1:5"/>
    <row r="23" spans="1:5" ht="15.75">
      <c r="A23" s="597" t="s">
        <v>149</v>
      </c>
      <c r="B23" s="597"/>
      <c r="C23" s="597"/>
      <c r="D23" s="597"/>
      <c r="E23" s="597"/>
    </row>
    <row r="24" spans="1:5" ht="15">
      <c r="A24" s="573" t="str">
        <f>A2</f>
        <v>(Circular Memo No. …………………………………….. dated: ………..2021)</v>
      </c>
      <c r="B24" s="573"/>
      <c r="C24" s="573"/>
      <c r="D24" s="573"/>
      <c r="E24" s="573"/>
    </row>
    <row r="25" spans="1:5"/>
    <row r="26" spans="1:5" ht="15.75">
      <c r="A26" s="7" t="s">
        <v>150</v>
      </c>
      <c r="D26" s="595"/>
      <c r="E26" s="595"/>
    </row>
    <row r="27" spans="1:5" ht="12" customHeight="1"/>
    <row r="28" spans="1:5" s="3" customFormat="1" ht="75.75" customHeight="1">
      <c r="A28" s="13" t="s">
        <v>137</v>
      </c>
      <c r="B28" s="13" t="s">
        <v>151</v>
      </c>
      <c r="C28" s="13" t="s">
        <v>152</v>
      </c>
      <c r="D28" s="13" t="s">
        <v>153</v>
      </c>
      <c r="E28" s="13" t="s">
        <v>154</v>
      </c>
    </row>
    <row r="29" spans="1:5" ht="16.5" customHeight="1">
      <c r="A29" s="14">
        <v>1</v>
      </c>
      <c r="B29" s="14">
        <v>2</v>
      </c>
      <c r="C29" s="14">
        <v>3</v>
      </c>
      <c r="D29" s="14">
        <v>4</v>
      </c>
      <c r="E29" s="14">
        <v>5</v>
      </c>
    </row>
    <row r="30" spans="1:5" ht="123.75" customHeight="1">
      <c r="A30" s="17"/>
      <c r="B30" s="17"/>
      <c r="C30" s="17"/>
      <c r="D30" s="17"/>
      <c r="E30" s="17"/>
    </row>
    <row r="31" spans="1:5"/>
    <row r="32" spans="1:5"/>
    <row r="33" spans="2:4"/>
    <row r="34" spans="2:4">
      <c r="D34" s="4" t="s">
        <v>155</v>
      </c>
    </row>
    <row r="35" spans="2:4">
      <c r="B35" s="18"/>
    </row>
    <row r="36" spans="2:4">
      <c r="B36" s="18"/>
    </row>
    <row r="37" spans="2:4" hidden="1">
      <c r="B37" s="18"/>
    </row>
  </sheetData>
  <sheetProtection password="D8E3" sheet="1" objects="1" scenarios="1"/>
  <customSheetViews>
    <customSheetView guid="{F60E2261-838F-4117-A98D-7C5CFDCC0021}" showGridLines="0" showRowCol="0" hiddenRows="1" hiddenColumns="1">
      <selection activeCell="D8" sqref="D8"/>
      <pageMargins left="0.70866141732283472" right="0.70866141732283472" top="0.74803149606299213" bottom="0.74803149606299213" header="0.31496062992125984" footer="0.31496062992125984"/>
      <pageSetup paperSize="9" orientation="portrait" r:id="rId1"/>
    </customSheetView>
    <customSheetView guid="{5633FAF7-B486-4D0B-84AB-497A2BE1B953}" showGridLines="0" showRowCol="0" hiddenRows="1" hiddenColumns="1">
      <selection activeCell="D8" sqref="D8"/>
      <pageMargins left="0.70866141732283472" right="0.70866141732283472" top="0.74803149606299213" bottom="0.74803149606299213" header="0.31496062992125984" footer="0.31496062992125984"/>
      <pageSetup paperSize="9" orientation="portrait" r:id="rId2"/>
    </customSheetView>
  </customSheetViews>
  <mergeCells count="6">
    <mergeCell ref="D26:E26"/>
    <mergeCell ref="A1:E1"/>
    <mergeCell ref="A2:E2"/>
    <mergeCell ref="D4:E4"/>
    <mergeCell ref="A23:E23"/>
    <mergeCell ref="A24:E24"/>
  </mergeCells>
  <pageMargins left="0.70866141732283472" right="0.70866141732283472" top="0.74803149606299213" bottom="0.74803149606299213" header="0.31496062992125984" footer="0.31496062992125984"/>
  <pageSetup paperSize="9" orientation="portrait" r:id="rId3"/>
</worksheet>
</file>

<file path=xl/worksheets/sheet6.xml><?xml version="1.0" encoding="utf-8"?>
<worksheet xmlns="http://schemas.openxmlformats.org/spreadsheetml/2006/main" xmlns:r="http://schemas.openxmlformats.org/officeDocument/2006/relationships">
  <sheetPr codeName="Sheet6">
    <tabColor rgb="FF00B0F0"/>
  </sheetPr>
  <dimension ref="A1:WXE89"/>
  <sheetViews>
    <sheetView showGridLines="0" showRowColHeaders="0" zoomScaleSheetLayoutView="100" workbookViewId="0">
      <pane xSplit="2" ySplit="5" topLeftCell="C6" activePane="bottomRight" state="frozen"/>
      <selection pane="topRight" activeCell="C1" sqref="C1"/>
      <selection pane="bottomLeft" activeCell="A6" sqref="A6"/>
      <selection pane="bottomRight" activeCell="W57" sqref="W57"/>
    </sheetView>
  </sheetViews>
  <sheetFormatPr defaultColWidth="3.5703125" defaultRowHeight="12" zeroHeight="1"/>
  <cols>
    <col min="1" max="1" width="3.7109375" style="254" customWidth="1"/>
    <col min="2" max="2" width="10.140625" style="254" customWidth="1"/>
    <col min="3" max="3" width="6.85546875" style="254" customWidth="1"/>
    <col min="4" max="4" width="3.7109375" style="254" customWidth="1"/>
    <col min="5" max="5" width="5.5703125" style="254" customWidth="1"/>
    <col min="6" max="6" width="3.7109375" style="254" customWidth="1"/>
    <col min="7" max="7" width="4.85546875" style="254" customWidth="1"/>
    <col min="8" max="8" width="5" style="254" customWidth="1"/>
    <col min="9" max="9" width="4.28515625" style="254" customWidth="1"/>
    <col min="10" max="10" width="5.28515625" style="254" customWidth="1"/>
    <col min="11" max="12" width="4.7109375" style="254" customWidth="1"/>
    <col min="13" max="13" width="4.5703125" style="254" customWidth="1"/>
    <col min="14" max="14" width="7.28515625" style="254" customWidth="1"/>
    <col min="15" max="15" width="4.5703125" style="254" customWidth="1"/>
    <col min="16" max="16" width="6.7109375" style="254" customWidth="1"/>
    <col min="17" max="17" width="6.42578125" style="254" customWidth="1"/>
    <col min="18" max="18" width="7.42578125" style="254" customWidth="1"/>
    <col min="19" max="19" width="3.7109375" style="254" customWidth="1"/>
    <col min="20" max="20" width="3.85546875" style="254" customWidth="1"/>
    <col min="21" max="21" width="5.140625" style="254" customWidth="1"/>
    <col min="22" max="22" width="4.7109375" style="254" customWidth="1"/>
    <col min="23" max="23" width="4.7109375" style="273" customWidth="1"/>
    <col min="24" max="24" width="5.85546875" style="254" customWidth="1"/>
    <col min="25" max="25" width="4.85546875" style="273" customWidth="1"/>
    <col min="26" max="26" width="4.5703125" style="254" customWidth="1"/>
    <col min="27" max="27" width="4.140625" style="254" customWidth="1"/>
    <col min="28" max="28" width="6.7109375" style="254" customWidth="1"/>
    <col min="29" max="29" width="4.42578125" style="254" customWidth="1"/>
    <col min="30" max="30" width="7.85546875" style="254" customWidth="1"/>
    <col min="31" max="31" width="6.28515625" style="254" customWidth="1"/>
    <col min="32" max="32" width="5.140625" style="254" customWidth="1"/>
    <col min="33" max="33" width="5.5703125" style="254" customWidth="1"/>
    <col min="34" max="34" width="5.28515625" style="254" customWidth="1"/>
    <col min="35" max="35" width="7.28515625" style="254" customWidth="1"/>
    <col min="36" max="36" width="4.7109375" style="254" customWidth="1"/>
    <col min="37" max="38" width="5" style="254" customWidth="1"/>
    <col min="39" max="39" width="7.7109375" style="254" customWidth="1"/>
    <col min="40" max="40" width="4.28515625" style="254" customWidth="1"/>
    <col min="41" max="41" width="7" style="254" customWidth="1"/>
    <col min="42" max="42" width="8" style="254" customWidth="1"/>
    <col min="43" max="43" width="1.140625" style="254" customWidth="1"/>
    <col min="44" max="259" width="0" style="254" hidden="1" customWidth="1"/>
    <col min="260" max="260" width="3.7109375" style="254" hidden="1" customWidth="1"/>
    <col min="261" max="261" width="9.7109375" style="254" hidden="1" customWidth="1"/>
    <col min="262" max="262" width="7" style="254" hidden="1" customWidth="1"/>
    <col min="263" max="264" width="3.7109375" style="254" hidden="1" customWidth="1"/>
    <col min="265" max="265" width="4.5703125" style="254" hidden="1" customWidth="1"/>
    <col min="266" max="266" width="5" style="254" hidden="1" customWidth="1"/>
    <col min="267" max="267" width="4.140625" style="254" hidden="1" customWidth="1"/>
    <col min="268" max="268" width="4.85546875" style="254" hidden="1" customWidth="1"/>
    <col min="269" max="270" width="6" style="254" hidden="1" customWidth="1"/>
    <col min="271" max="271" width="4.7109375" style="254" hidden="1" customWidth="1"/>
    <col min="272" max="272" width="7.85546875" style="254" hidden="1" customWidth="1"/>
    <col min="273" max="273" width="4" style="254" hidden="1" customWidth="1"/>
    <col min="274" max="274" width="6.5703125" style="254" hidden="1" customWidth="1"/>
    <col min="275" max="275" width="5.85546875" style="254" hidden="1" customWidth="1"/>
    <col min="276" max="276" width="6.5703125" style="254" hidden="1" customWidth="1"/>
    <col min="277" max="277" width="7.85546875" style="254" hidden="1" customWidth="1"/>
    <col min="278" max="280" width="4.28515625" style="254" hidden="1" customWidth="1"/>
    <col min="281" max="281" width="4.7109375" style="254" hidden="1" customWidth="1"/>
    <col min="282" max="282" width="4" style="254" hidden="1" customWidth="1"/>
    <col min="283" max="283" width="4.7109375" style="254" hidden="1" customWidth="1"/>
    <col min="284" max="284" width="5.85546875" style="254" hidden="1" customWidth="1"/>
    <col min="285" max="285" width="4.5703125" style="254" hidden="1" customWidth="1"/>
    <col min="286" max="286" width="7.85546875" style="254" hidden="1" customWidth="1"/>
    <col min="287" max="287" width="3.85546875" style="254" hidden="1" customWidth="1"/>
    <col min="288" max="288" width="6.7109375" style="254" hidden="1" customWidth="1"/>
    <col min="289" max="289" width="4.42578125" style="254" hidden="1" customWidth="1"/>
    <col min="290" max="290" width="5.28515625" style="254" hidden="1" customWidth="1"/>
    <col min="291" max="291" width="4.7109375" style="254" hidden="1" customWidth="1"/>
    <col min="292" max="293" width="6.7109375" style="254" hidden="1" customWidth="1"/>
    <col min="294" max="294" width="5" style="254" hidden="1" customWidth="1"/>
    <col min="295" max="295" width="6.5703125" style="254" hidden="1" customWidth="1"/>
    <col min="296" max="296" width="3.85546875" style="254" hidden="1" customWidth="1"/>
    <col min="297" max="298" width="7.140625" style="254" hidden="1" customWidth="1"/>
    <col min="299" max="299" width="1.140625" style="254" hidden="1" customWidth="1"/>
    <col min="300" max="515" width="0" style="254" hidden="1" customWidth="1"/>
    <col min="516" max="516" width="3.7109375" style="254" hidden="1" customWidth="1"/>
    <col min="517" max="517" width="9.7109375" style="254" hidden="1" customWidth="1"/>
    <col min="518" max="518" width="7" style="254" hidden="1" customWidth="1"/>
    <col min="519" max="520" width="3.7109375" style="254" hidden="1" customWidth="1"/>
    <col min="521" max="521" width="4.5703125" style="254" hidden="1" customWidth="1"/>
    <col min="522" max="522" width="5" style="254" hidden="1" customWidth="1"/>
    <col min="523" max="523" width="4.140625" style="254" hidden="1" customWidth="1"/>
    <col min="524" max="524" width="4.85546875" style="254" hidden="1" customWidth="1"/>
    <col min="525" max="526" width="6" style="254" hidden="1" customWidth="1"/>
    <col min="527" max="527" width="4.7109375" style="254" hidden="1" customWidth="1"/>
    <col min="528" max="528" width="7.85546875" style="254" hidden="1" customWidth="1"/>
    <col min="529" max="529" width="4" style="254" hidden="1" customWidth="1"/>
    <col min="530" max="530" width="6.5703125" style="254" hidden="1" customWidth="1"/>
    <col min="531" max="531" width="5.85546875" style="254" hidden="1" customWidth="1"/>
    <col min="532" max="532" width="6.5703125" style="254" hidden="1" customWidth="1"/>
    <col min="533" max="533" width="7.85546875" style="254" hidden="1" customWidth="1"/>
    <col min="534" max="536" width="4.28515625" style="254" hidden="1" customWidth="1"/>
    <col min="537" max="537" width="4.7109375" style="254" hidden="1" customWidth="1"/>
    <col min="538" max="538" width="4" style="254" hidden="1" customWidth="1"/>
    <col min="539" max="539" width="4.7109375" style="254" hidden="1" customWidth="1"/>
    <col min="540" max="540" width="5.85546875" style="254" hidden="1" customWidth="1"/>
    <col min="541" max="541" width="4.5703125" style="254" hidden="1" customWidth="1"/>
    <col min="542" max="542" width="7.85546875" style="254" hidden="1" customWidth="1"/>
    <col min="543" max="543" width="3.85546875" style="254" hidden="1" customWidth="1"/>
    <col min="544" max="544" width="6.7109375" style="254" hidden="1" customWidth="1"/>
    <col min="545" max="545" width="4.42578125" style="254" hidden="1" customWidth="1"/>
    <col min="546" max="546" width="5.28515625" style="254" hidden="1" customWidth="1"/>
    <col min="547" max="547" width="4.7109375" style="254" hidden="1" customWidth="1"/>
    <col min="548" max="549" width="6.7109375" style="254" hidden="1" customWidth="1"/>
    <col min="550" max="550" width="5" style="254" hidden="1" customWidth="1"/>
    <col min="551" max="551" width="6.5703125" style="254" hidden="1" customWidth="1"/>
    <col min="552" max="552" width="3.85546875" style="254" hidden="1" customWidth="1"/>
    <col min="553" max="554" width="7.140625" style="254" hidden="1" customWidth="1"/>
    <col min="555" max="555" width="1.140625" style="254" hidden="1" customWidth="1"/>
    <col min="556" max="771" width="0" style="254" hidden="1" customWidth="1"/>
    <col min="772" max="772" width="3.7109375" style="254" hidden="1" customWidth="1"/>
    <col min="773" max="773" width="9.7109375" style="254" hidden="1" customWidth="1"/>
    <col min="774" max="774" width="7" style="254" hidden="1" customWidth="1"/>
    <col min="775" max="776" width="3.7109375" style="254" hidden="1" customWidth="1"/>
    <col min="777" max="777" width="4.5703125" style="254" hidden="1" customWidth="1"/>
    <col min="778" max="778" width="5" style="254" hidden="1" customWidth="1"/>
    <col min="779" max="779" width="4.140625" style="254" hidden="1" customWidth="1"/>
    <col min="780" max="780" width="4.85546875" style="254" hidden="1" customWidth="1"/>
    <col min="781" max="782" width="6" style="254" hidden="1" customWidth="1"/>
    <col min="783" max="783" width="4.7109375" style="254" hidden="1" customWidth="1"/>
    <col min="784" max="784" width="7.85546875" style="254" hidden="1" customWidth="1"/>
    <col min="785" max="785" width="4" style="254" hidden="1" customWidth="1"/>
    <col min="786" max="786" width="6.5703125" style="254" hidden="1" customWidth="1"/>
    <col min="787" max="787" width="5.85546875" style="254" hidden="1" customWidth="1"/>
    <col min="788" max="788" width="6.5703125" style="254" hidden="1" customWidth="1"/>
    <col min="789" max="789" width="7.85546875" style="254" hidden="1" customWidth="1"/>
    <col min="790" max="792" width="4.28515625" style="254" hidden="1" customWidth="1"/>
    <col min="793" max="793" width="4.7109375" style="254" hidden="1" customWidth="1"/>
    <col min="794" max="794" width="4" style="254" hidden="1" customWidth="1"/>
    <col min="795" max="795" width="4.7109375" style="254" hidden="1" customWidth="1"/>
    <col min="796" max="796" width="5.85546875" style="254" hidden="1" customWidth="1"/>
    <col min="797" max="797" width="4.5703125" style="254" hidden="1" customWidth="1"/>
    <col min="798" max="798" width="7.85546875" style="254" hidden="1" customWidth="1"/>
    <col min="799" max="799" width="3.85546875" style="254" hidden="1" customWidth="1"/>
    <col min="800" max="800" width="6.7109375" style="254" hidden="1" customWidth="1"/>
    <col min="801" max="801" width="4.42578125" style="254" hidden="1" customWidth="1"/>
    <col min="802" max="802" width="5.28515625" style="254" hidden="1" customWidth="1"/>
    <col min="803" max="803" width="4.7109375" style="254" hidden="1" customWidth="1"/>
    <col min="804" max="805" width="6.7109375" style="254" hidden="1" customWidth="1"/>
    <col min="806" max="806" width="5" style="254" hidden="1" customWidth="1"/>
    <col min="807" max="807" width="6.5703125" style="254" hidden="1" customWidth="1"/>
    <col min="808" max="808" width="3.85546875" style="254" hidden="1" customWidth="1"/>
    <col min="809" max="810" width="7.140625" style="254" hidden="1" customWidth="1"/>
    <col min="811" max="811" width="1.140625" style="254" hidden="1" customWidth="1"/>
    <col min="812" max="1027" width="0" style="254" hidden="1" customWidth="1"/>
    <col min="1028" max="1028" width="3.7109375" style="254" hidden="1" customWidth="1"/>
    <col min="1029" max="1029" width="9.7109375" style="254" hidden="1" customWidth="1"/>
    <col min="1030" max="1030" width="7" style="254" hidden="1" customWidth="1"/>
    <col min="1031" max="1032" width="3.7109375" style="254" hidden="1" customWidth="1"/>
    <col min="1033" max="1033" width="4.5703125" style="254" hidden="1" customWidth="1"/>
    <col min="1034" max="1034" width="5" style="254" hidden="1" customWidth="1"/>
    <col min="1035" max="1035" width="4.140625" style="254" hidden="1" customWidth="1"/>
    <col min="1036" max="1036" width="4.85546875" style="254" hidden="1" customWidth="1"/>
    <col min="1037" max="1038" width="6" style="254" hidden="1" customWidth="1"/>
    <col min="1039" max="1039" width="4.7109375" style="254" hidden="1" customWidth="1"/>
    <col min="1040" max="1040" width="7.85546875" style="254" hidden="1" customWidth="1"/>
    <col min="1041" max="1041" width="4" style="254" hidden="1" customWidth="1"/>
    <col min="1042" max="1042" width="6.5703125" style="254" hidden="1" customWidth="1"/>
    <col min="1043" max="1043" width="5.85546875" style="254" hidden="1" customWidth="1"/>
    <col min="1044" max="1044" width="6.5703125" style="254" hidden="1" customWidth="1"/>
    <col min="1045" max="1045" width="7.85546875" style="254" hidden="1" customWidth="1"/>
    <col min="1046" max="1048" width="4.28515625" style="254" hidden="1" customWidth="1"/>
    <col min="1049" max="1049" width="4.7109375" style="254" hidden="1" customWidth="1"/>
    <col min="1050" max="1050" width="4" style="254" hidden="1" customWidth="1"/>
    <col min="1051" max="1051" width="4.7109375" style="254" hidden="1" customWidth="1"/>
    <col min="1052" max="1052" width="5.85546875" style="254" hidden="1" customWidth="1"/>
    <col min="1053" max="1053" width="4.5703125" style="254" hidden="1" customWidth="1"/>
    <col min="1054" max="1054" width="7.85546875" style="254" hidden="1" customWidth="1"/>
    <col min="1055" max="1055" width="3.85546875" style="254" hidden="1" customWidth="1"/>
    <col min="1056" max="1056" width="6.7109375" style="254" hidden="1" customWidth="1"/>
    <col min="1057" max="1057" width="4.42578125" style="254" hidden="1" customWidth="1"/>
    <col min="1058" max="1058" width="5.28515625" style="254" hidden="1" customWidth="1"/>
    <col min="1059" max="1059" width="4.7109375" style="254" hidden="1" customWidth="1"/>
    <col min="1060" max="1061" width="6.7109375" style="254" hidden="1" customWidth="1"/>
    <col min="1062" max="1062" width="5" style="254" hidden="1" customWidth="1"/>
    <col min="1063" max="1063" width="6.5703125" style="254" hidden="1" customWidth="1"/>
    <col min="1064" max="1064" width="3.85546875" style="254" hidden="1" customWidth="1"/>
    <col min="1065" max="1066" width="7.140625" style="254" hidden="1" customWidth="1"/>
    <col min="1067" max="1067" width="1.140625" style="254" hidden="1" customWidth="1"/>
    <col min="1068" max="1283" width="0" style="254" hidden="1" customWidth="1"/>
    <col min="1284" max="1284" width="3.7109375" style="254" hidden="1" customWidth="1"/>
    <col min="1285" max="1285" width="9.7109375" style="254" hidden="1" customWidth="1"/>
    <col min="1286" max="1286" width="7" style="254" hidden="1" customWidth="1"/>
    <col min="1287" max="1288" width="3.7109375" style="254" hidden="1" customWidth="1"/>
    <col min="1289" max="1289" width="4.5703125" style="254" hidden="1" customWidth="1"/>
    <col min="1290" max="1290" width="5" style="254" hidden="1" customWidth="1"/>
    <col min="1291" max="1291" width="4.140625" style="254" hidden="1" customWidth="1"/>
    <col min="1292" max="1292" width="4.85546875" style="254" hidden="1" customWidth="1"/>
    <col min="1293" max="1294" width="6" style="254" hidden="1" customWidth="1"/>
    <col min="1295" max="1295" width="4.7109375" style="254" hidden="1" customWidth="1"/>
    <col min="1296" max="1296" width="7.85546875" style="254" hidden="1" customWidth="1"/>
    <col min="1297" max="1297" width="4" style="254" hidden="1" customWidth="1"/>
    <col min="1298" max="1298" width="6.5703125" style="254" hidden="1" customWidth="1"/>
    <col min="1299" max="1299" width="5.85546875" style="254" hidden="1" customWidth="1"/>
    <col min="1300" max="1300" width="6.5703125" style="254" hidden="1" customWidth="1"/>
    <col min="1301" max="1301" width="7.85546875" style="254" hidden="1" customWidth="1"/>
    <col min="1302" max="1304" width="4.28515625" style="254" hidden="1" customWidth="1"/>
    <col min="1305" max="1305" width="4.7109375" style="254" hidden="1" customWidth="1"/>
    <col min="1306" max="1306" width="4" style="254" hidden="1" customWidth="1"/>
    <col min="1307" max="1307" width="4.7109375" style="254" hidden="1" customWidth="1"/>
    <col min="1308" max="1308" width="5.85546875" style="254" hidden="1" customWidth="1"/>
    <col min="1309" max="1309" width="4.5703125" style="254" hidden="1" customWidth="1"/>
    <col min="1310" max="1310" width="7.85546875" style="254" hidden="1" customWidth="1"/>
    <col min="1311" max="1311" width="3.85546875" style="254" hidden="1" customWidth="1"/>
    <col min="1312" max="1312" width="6.7109375" style="254" hidden="1" customWidth="1"/>
    <col min="1313" max="1313" width="4.42578125" style="254" hidden="1" customWidth="1"/>
    <col min="1314" max="1314" width="5.28515625" style="254" hidden="1" customWidth="1"/>
    <col min="1315" max="1315" width="4.7109375" style="254" hidden="1" customWidth="1"/>
    <col min="1316" max="1317" width="6.7109375" style="254" hidden="1" customWidth="1"/>
    <col min="1318" max="1318" width="5" style="254" hidden="1" customWidth="1"/>
    <col min="1319" max="1319" width="6.5703125" style="254" hidden="1" customWidth="1"/>
    <col min="1320" max="1320" width="3.85546875" style="254" hidden="1" customWidth="1"/>
    <col min="1321" max="1322" width="7.140625" style="254" hidden="1" customWidth="1"/>
    <col min="1323" max="1323" width="1.140625" style="254" hidden="1" customWidth="1"/>
    <col min="1324" max="1539" width="0" style="254" hidden="1" customWidth="1"/>
    <col min="1540" max="1540" width="3.7109375" style="254" hidden="1" customWidth="1"/>
    <col min="1541" max="1541" width="9.7109375" style="254" hidden="1" customWidth="1"/>
    <col min="1542" max="1542" width="7" style="254" hidden="1" customWidth="1"/>
    <col min="1543" max="1544" width="3.7109375" style="254" hidden="1" customWidth="1"/>
    <col min="1545" max="1545" width="4.5703125" style="254" hidden="1" customWidth="1"/>
    <col min="1546" max="1546" width="5" style="254" hidden="1" customWidth="1"/>
    <col min="1547" max="1547" width="4.140625" style="254" hidden="1" customWidth="1"/>
    <col min="1548" max="1548" width="4.85546875" style="254" hidden="1" customWidth="1"/>
    <col min="1549" max="1550" width="6" style="254" hidden="1" customWidth="1"/>
    <col min="1551" max="1551" width="4.7109375" style="254" hidden="1" customWidth="1"/>
    <col min="1552" max="1552" width="7.85546875" style="254" hidden="1" customWidth="1"/>
    <col min="1553" max="1553" width="4" style="254" hidden="1" customWidth="1"/>
    <col min="1554" max="1554" width="6.5703125" style="254" hidden="1" customWidth="1"/>
    <col min="1555" max="1555" width="5.85546875" style="254" hidden="1" customWidth="1"/>
    <col min="1556" max="1556" width="6.5703125" style="254" hidden="1" customWidth="1"/>
    <col min="1557" max="1557" width="7.85546875" style="254" hidden="1" customWidth="1"/>
    <col min="1558" max="1560" width="4.28515625" style="254" hidden="1" customWidth="1"/>
    <col min="1561" max="1561" width="4.7109375" style="254" hidden="1" customWidth="1"/>
    <col min="1562" max="1562" width="4" style="254" hidden="1" customWidth="1"/>
    <col min="1563" max="1563" width="4.7109375" style="254" hidden="1" customWidth="1"/>
    <col min="1564" max="1564" width="5.85546875" style="254" hidden="1" customWidth="1"/>
    <col min="1565" max="1565" width="4.5703125" style="254" hidden="1" customWidth="1"/>
    <col min="1566" max="1566" width="7.85546875" style="254" hidden="1" customWidth="1"/>
    <col min="1567" max="1567" width="3.85546875" style="254" hidden="1" customWidth="1"/>
    <col min="1568" max="1568" width="6.7109375" style="254" hidden="1" customWidth="1"/>
    <col min="1569" max="1569" width="4.42578125" style="254" hidden="1" customWidth="1"/>
    <col min="1570" max="1570" width="5.28515625" style="254" hidden="1" customWidth="1"/>
    <col min="1571" max="1571" width="4.7109375" style="254" hidden="1" customWidth="1"/>
    <col min="1572" max="1573" width="6.7109375" style="254" hidden="1" customWidth="1"/>
    <col min="1574" max="1574" width="5" style="254" hidden="1" customWidth="1"/>
    <col min="1575" max="1575" width="6.5703125" style="254" hidden="1" customWidth="1"/>
    <col min="1576" max="1576" width="3.85546875" style="254" hidden="1" customWidth="1"/>
    <col min="1577" max="1578" width="7.140625" style="254" hidden="1" customWidth="1"/>
    <col min="1579" max="1579" width="1.140625" style="254" hidden="1" customWidth="1"/>
    <col min="1580" max="1795" width="0" style="254" hidden="1" customWidth="1"/>
    <col min="1796" max="1796" width="3.7109375" style="254" hidden="1" customWidth="1"/>
    <col min="1797" max="1797" width="9.7109375" style="254" hidden="1" customWidth="1"/>
    <col min="1798" max="1798" width="7" style="254" hidden="1" customWidth="1"/>
    <col min="1799" max="1800" width="3.7109375" style="254" hidden="1" customWidth="1"/>
    <col min="1801" max="1801" width="4.5703125" style="254" hidden="1" customWidth="1"/>
    <col min="1802" max="1802" width="5" style="254" hidden="1" customWidth="1"/>
    <col min="1803" max="1803" width="4.140625" style="254" hidden="1" customWidth="1"/>
    <col min="1804" max="1804" width="4.85546875" style="254" hidden="1" customWidth="1"/>
    <col min="1805" max="1806" width="6" style="254" hidden="1" customWidth="1"/>
    <col min="1807" max="1807" width="4.7109375" style="254" hidden="1" customWidth="1"/>
    <col min="1808" max="1808" width="7.85546875" style="254" hidden="1" customWidth="1"/>
    <col min="1809" max="1809" width="4" style="254" hidden="1" customWidth="1"/>
    <col min="1810" max="1810" width="6.5703125" style="254" hidden="1" customWidth="1"/>
    <col min="1811" max="1811" width="5.85546875" style="254" hidden="1" customWidth="1"/>
    <col min="1812" max="1812" width="6.5703125" style="254" hidden="1" customWidth="1"/>
    <col min="1813" max="1813" width="7.85546875" style="254" hidden="1" customWidth="1"/>
    <col min="1814" max="1816" width="4.28515625" style="254" hidden="1" customWidth="1"/>
    <col min="1817" max="1817" width="4.7109375" style="254" hidden="1" customWidth="1"/>
    <col min="1818" max="1818" width="4" style="254" hidden="1" customWidth="1"/>
    <col min="1819" max="1819" width="4.7109375" style="254" hidden="1" customWidth="1"/>
    <col min="1820" max="1820" width="5.85546875" style="254" hidden="1" customWidth="1"/>
    <col min="1821" max="1821" width="4.5703125" style="254" hidden="1" customWidth="1"/>
    <col min="1822" max="1822" width="7.85546875" style="254" hidden="1" customWidth="1"/>
    <col min="1823" max="1823" width="3.85546875" style="254" hidden="1" customWidth="1"/>
    <col min="1824" max="1824" width="6.7109375" style="254" hidden="1" customWidth="1"/>
    <col min="1825" max="1825" width="4.42578125" style="254" hidden="1" customWidth="1"/>
    <col min="1826" max="1826" width="5.28515625" style="254" hidden="1" customWidth="1"/>
    <col min="1827" max="1827" width="4.7109375" style="254" hidden="1" customWidth="1"/>
    <col min="1828" max="1829" width="6.7109375" style="254" hidden="1" customWidth="1"/>
    <col min="1830" max="1830" width="5" style="254" hidden="1" customWidth="1"/>
    <col min="1831" max="1831" width="6.5703125" style="254" hidden="1" customWidth="1"/>
    <col min="1832" max="1832" width="3.85546875" style="254" hidden="1" customWidth="1"/>
    <col min="1833" max="1834" width="7.140625" style="254" hidden="1" customWidth="1"/>
    <col min="1835" max="1835" width="1.140625" style="254" hidden="1" customWidth="1"/>
    <col min="1836" max="2051" width="0" style="254" hidden="1" customWidth="1"/>
    <col min="2052" max="2052" width="3.7109375" style="254" hidden="1" customWidth="1"/>
    <col min="2053" max="2053" width="9.7109375" style="254" hidden="1" customWidth="1"/>
    <col min="2054" max="2054" width="7" style="254" hidden="1" customWidth="1"/>
    <col min="2055" max="2056" width="3.7109375" style="254" hidden="1" customWidth="1"/>
    <col min="2057" max="2057" width="4.5703125" style="254" hidden="1" customWidth="1"/>
    <col min="2058" max="2058" width="5" style="254" hidden="1" customWidth="1"/>
    <col min="2059" max="2059" width="4.140625" style="254" hidden="1" customWidth="1"/>
    <col min="2060" max="2060" width="4.85546875" style="254" hidden="1" customWidth="1"/>
    <col min="2061" max="2062" width="6" style="254" hidden="1" customWidth="1"/>
    <col min="2063" max="2063" width="4.7109375" style="254" hidden="1" customWidth="1"/>
    <col min="2064" max="2064" width="7.85546875" style="254" hidden="1" customWidth="1"/>
    <col min="2065" max="2065" width="4" style="254" hidden="1" customWidth="1"/>
    <col min="2066" max="2066" width="6.5703125" style="254" hidden="1" customWidth="1"/>
    <col min="2067" max="2067" width="5.85546875" style="254" hidden="1" customWidth="1"/>
    <col min="2068" max="2068" width="6.5703125" style="254" hidden="1" customWidth="1"/>
    <col min="2069" max="2069" width="7.85546875" style="254" hidden="1" customWidth="1"/>
    <col min="2070" max="2072" width="4.28515625" style="254" hidden="1" customWidth="1"/>
    <col min="2073" max="2073" width="4.7109375" style="254" hidden="1" customWidth="1"/>
    <col min="2074" max="2074" width="4" style="254" hidden="1" customWidth="1"/>
    <col min="2075" max="2075" width="4.7109375" style="254" hidden="1" customWidth="1"/>
    <col min="2076" max="2076" width="5.85546875" style="254" hidden="1" customWidth="1"/>
    <col min="2077" max="2077" width="4.5703125" style="254" hidden="1" customWidth="1"/>
    <col min="2078" max="2078" width="7.85546875" style="254" hidden="1" customWidth="1"/>
    <col min="2079" max="2079" width="3.85546875" style="254" hidden="1" customWidth="1"/>
    <col min="2080" max="2080" width="6.7109375" style="254" hidden="1" customWidth="1"/>
    <col min="2081" max="2081" width="4.42578125" style="254" hidden="1" customWidth="1"/>
    <col min="2082" max="2082" width="5.28515625" style="254" hidden="1" customWidth="1"/>
    <col min="2083" max="2083" width="4.7109375" style="254" hidden="1" customWidth="1"/>
    <col min="2084" max="2085" width="6.7109375" style="254" hidden="1" customWidth="1"/>
    <col min="2086" max="2086" width="5" style="254" hidden="1" customWidth="1"/>
    <col min="2087" max="2087" width="6.5703125" style="254" hidden="1" customWidth="1"/>
    <col min="2088" max="2088" width="3.85546875" style="254" hidden="1" customWidth="1"/>
    <col min="2089" max="2090" width="7.140625" style="254" hidden="1" customWidth="1"/>
    <col min="2091" max="2091" width="1.140625" style="254" hidden="1" customWidth="1"/>
    <col min="2092" max="2307" width="0" style="254" hidden="1" customWidth="1"/>
    <col min="2308" max="2308" width="3.7109375" style="254" hidden="1" customWidth="1"/>
    <col min="2309" max="2309" width="9.7109375" style="254" hidden="1" customWidth="1"/>
    <col min="2310" max="2310" width="7" style="254" hidden="1" customWidth="1"/>
    <col min="2311" max="2312" width="3.7109375" style="254" hidden="1" customWidth="1"/>
    <col min="2313" max="2313" width="4.5703125" style="254" hidden="1" customWidth="1"/>
    <col min="2314" max="2314" width="5" style="254" hidden="1" customWidth="1"/>
    <col min="2315" max="2315" width="4.140625" style="254" hidden="1" customWidth="1"/>
    <col min="2316" max="2316" width="4.85546875" style="254" hidden="1" customWidth="1"/>
    <col min="2317" max="2318" width="6" style="254" hidden="1" customWidth="1"/>
    <col min="2319" max="2319" width="4.7109375" style="254" hidden="1" customWidth="1"/>
    <col min="2320" max="2320" width="7.85546875" style="254" hidden="1" customWidth="1"/>
    <col min="2321" max="2321" width="4" style="254" hidden="1" customWidth="1"/>
    <col min="2322" max="2322" width="6.5703125" style="254" hidden="1" customWidth="1"/>
    <col min="2323" max="2323" width="5.85546875" style="254" hidden="1" customWidth="1"/>
    <col min="2324" max="2324" width="6.5703125" style="254" hidden="1" customWidth="1"/>
    <col min="2325" max="2325" width="7.85546875" style="254" hidden="1" customWidth="1"/>
    <col min="2326" max="2328" width="4.28515625" style="254" hidden="1" customWidth="1"/>
    <col min="2329" max="2329" width="4.7109375" style="254" hidden="1" customWidth="1"/>
    <col min="2330" max="2330" width="4" style="254" hidden="1" customWidth="1"/>
    <col min="2331" max="2331" width="4.7109375" style="254" hidden="1" customWidth="1"/>
    <col min="2332" max="2332" width="5.85546875" style="254" hidden="1" customWidth="1"/>
    <col min="2333" max="2333" width="4.5703125" style="254" hidden="1" customWidth="1"/>
    <col min="2334" max="2334" width="7.85546875" style="254" hidden="1" customWidth="1"/>
    <col min="2335" max="2335" width="3.85546875" style="254" hidden="1" customWidth="1"/>
    <col min="2336" max="2336" width="6.7109375" style="254" hidden="1" customWidth="1"/>
    <col min="2337" max="2337" width="4.42578125" style="254" hidden="1" customWidth="1"/>
    <col min="2338" max="2338" width="5.28515625" style="254" hidden="1" customWidth="1"/>
    <col min="2339" max="2339" width="4.7109375" style="254" hidden="1" customWidth="1"/>
    <col min="2340" max="2341" width="6.7109375" style="254" hidden="1" customWidth="1"/>
    <col min="2342" max="2342" width="5" style="254" hidden="1" customWidth="1"/>
    <col min="2343" max="2343" width="6.5703125" style="254" hidden="1" customWidth="1"/>
    <col min="2344" max="2344" width="3.85546875" style="254" hidden="1" customWidth="1"/>
    <col min="2345" max="2346" width="7.140625" style="254" hidden="1" customWidth="1"/>
    <col min="2347" max="2347" width="1.140625" style="254" hidden="1" customWidth="1"/>
    <col min="2348" max="2563" width="0" style="254" hidden="1" customWidth="1"/>
    <col min="2564" max="2564" width="3.7109375" style="254" hidden="1" customWidth="1"/>
    <col min="2565" max="2565" width="9.7109375" style="254" hidden="1" customWidth="1"/>
    <col min="2566" max="2566" width="7" style="254" hidden="1" customWidth="1"/>
    <col min="2567" max="2568" width="3.7109375" style="254" hidden="1" customWidth="1"/>
    <col min="2569" max="2569" width="4.5703125" style="254" hidden="1" customWidth="1"/>
    <col min="2570" max="2570" width="5" style="254" hidden="1" customWidth="1"/>
    <col min="2571" max="2571" width="4.140625" style="254" hidden="1" customWidth="1"/>
    <col min="2572" max="2572" width="4.85546875" style="254" hidden="1" customWidth="1"/>
    <col min="2573" max="2574" width="6" style="254" hidden="1" customWidth="1"/>
    <col min="2575" max="2575" width="4.7109375" style="254" hidden="1" customWidth="1"/>
    <col min="2576" max="2576" width="7.85546875" style="254" hidden="1" customWidth="1"/>
    <col min="2577" max="2577" width="4" style="254" hidden="1" customWidth="1"/>
    <col min="2578" max="2578" width="6.5703125" style="254" hidden="1" customWidth="1"/>
    <col min="2579" max="2579" width="5.85546875" style="254" hidden="1" customWidth="1"/>
    <col min="2580" max="2580" width="6.5703125" style="254" hidden="1" customWidth="1"/>
    <col min="2581" max="2581" width="7.85546875" style="254" hidden="1" customWidth="1"/>
    <col min="2582" max="2584" width="4.28515625" style="254" hidden="1" customWidth="1"/>
    <col min="2585" max="2585" width="4.7109375" style="254" hidden="1" customWidth="1"/>
    <col min="2586" max="2586" width="4" style="254" hidden="1" customWidth="1"/>
    <col min="2587" max="2587" width="4.7109375" style="254" hidden="1" customWidth="1"/>
    <col min="2588" max="2588" width="5.85546875" style="254" hidden="1" customWidth="1"/>
    <col min="2589" max="2589" width="4.5703125" style="254" hidden="1" customWidth="1"/>
    <col min="2590" max="2590" width="7.85546875" style="254" hidden="1" customWidth="1"/>
    <col min="2591" max="2591" width="3.85546875" style="254" hidden="1" customWidth="1"/>
    <col min="2592" max="2592" width="6.7109375" style="254" hidden="1" customWidth="1"/>
    <col min="2593" max="2593" width="4.42578125" style="254" hidden="1" customWidth="1"/>
    <col min="2594" max="2594" width="5.28515625" style="254" hidden="1" customWidth="1"/>
    <col min="2595" max="2595" width="4.7109375" style="254" hidden="1" customWidth="1"/>
    <col min="2596" max="2597" width="6.7109375" style="254" hidden="1" customWidth="1"/>
    <col min="2598" max="2598" width="5" style="254" hidden="1" customWidth="1"/>
    <col min="2599" max="2599" width="6.5703125" style="254" hidden="1" customWidth="1"/>
    <col min="2600" max="2600" width="3.85546875" style="254" hidden="1" customWidth="1"/>
    <col min="2601" max="2602" width="7.140625" style="254" hidden="1" customWidth="1"/>
    <col min="2603" max="2603" width="1.140625" style="254" hidden="1" customWidth="1"/>
    <col min="2604" max="2819" width="0" style="254" hidden="1" customWidth="1"/>
    <col min="2820" max="2820" width="3.7109375" style="254" hidden="1" customWidth="1"/>
    <col min="2821" max="2821" width="9.7109375" style="254" hidden="1" customWidth="1"/>
    <col min="2822" max="2822" width="7" style="254" hidden="1" customWidth="1"/>
    <col min="2823" max="2824" width="3.7109375" style="254" hidden="1" customWidth="1"/>
    <col min="2825" max="2825" width="4.5703125" style="254" hidden="1" customWidth="1"/>
    <col min="2826" max="2826" width="5" style="254" hidden="1" customWidth="1"/>
    <col min="2827" max="2827" width="4.140625" style="254" hidden="1" customWidth="1"/>
    <col min="2828" max="2828" width="4.85546875" style="254" hidden="1" customWidth="1"/>
    <col min="2829" max="2830" width="6" style="254" hidden="1" customWidth="1"/>
    <col min="2831" max="2831" width="4.7109375" style="254" hidden="1" customWidth="1"/>
    <col min="2832" max="2832" width="7.85546875" style="254" hidden="1" customWidth="1"/>
    <col min="2833" max="2833" width="4" style="254" hidden="1" customWidth="1"/>
    <col min="2834" max="2834" width="6.5703125" style="254" hidden="1" customWidth="1"/>
    <col min="2835" max="2835" width="5.85546875" style="254" hidden="1" customWidth="1"/>
    <col min="2836" max="2836" width="6.5703125" style="254" hidden="1" customWidth="1"/>
    <col min="2837" max="2837" width="7.85546875" style="254" hidden="1" customWidth="1"/>
    <col min="2838" max="2840" width="4.28515625" style="254" hidden="1" customWidth="1"/>
    <col min="2841" max="2841" width="4.7109375" style="254" hidden="1" customWidth="1"/>
    <col min="2842" max="2842" width="4" style="254" hidden="1" customWidth="1"/>
    <col min="2843" max="2843" width="4.7109375" style="254" hidden="1" customWidth="1"/>
    <col min="2844" max="2844" width="5.85546875" style="254" hidden="1" customWidth="1"/>
    <col min="2845" max="2845" width="4.5703125" style="254" hidden="1" customWidth="1"/>
    <col min="2846" max="2846" width="7.85546875" style="254" hidden="1" customWidth="1"/>
    <col min="2847" max="2847" width="3.85546875" style="254" hidden="1" customWidth="1"/>
    <col min="2848" max="2848" width="6.7109375" style="254" hidden="1" customWidth="1"/>
    <col min="2849" max="2849" width="4.42578125" style="254" hidden="1" customWidth="1"/>
    <col min="2850" max="2850" width="5.28515625" style="254" hidden="1" customWidth="1"/>
    <col min="2851" max="2851" width="4.7109375" style="254" hidden="1" customWidth="1"/>
    <col min="2852" max="2853" width="6.7109375" style="254" hidden="1" customWidth="1"/>
    <col min="2854" max="2854" width="5" style="254" hidden="1" customWidth="1"/>
    <col min="2855" max="2855" width="6.5703125" style="254" hidden="1" customWidth="1"/>
    <col min="2856" max="2856" width="3.85546875" style="254" hidden="1" customWidth="1"/>
    <col min="2857" max="2858" width="7.140625" style="254" hidden="1" customWidth="1"/>
    <col min="2859" max="2859" width="1.140625" style="254" hidden="1" customWidth="1"/>
    <col min="2860" max="3075" width="0" style="254" hidden="1" customWidth="1"/>
    <col min="3076" max="3076" width="3.7109375" style="254" hidden="1" customWidth="1"/>
    <col min="3077" max="3077" width="9.7109375" style="254" hidden="1" customWidth="1"/>
    <col min="3078" max="3078" width="7" style="254" hidden="1" customWidth="1"/>
    <col min="3079" max="3080" width="3.7109375" style="254" hidden="1" customWidth="1"/>
    <col min="3081" max="3081" width="4.5703125" style="254" hidden="1" customWidth="1"/>
    <col min="3082" max="3082" width="5" style="254" hidden="1" customWidth="1"/>
    <col min="3083" max="3083" width="4.140625" style="254" hidden="1" customWidth="1"/>
    <col min="3084" max="3084" width="4.85546875" style="254" hidden="1" customWidth="1"/>
    <col min="3085" max="3086" width="6" style="254" hidden="1" customWidth="1"/>
    <col min="3087" max="3087" width="4.7109375" style="254" hidden="1" customWidth="1"/>
    <col min="3088" max="3088" width="7.85546875" style="254" hidden="1" customWidth="1"/>
    <col min="3089" max="3089" width="4" style="254" hidden="1" customWidth="1"/>
    <col min="3090" max="3090" width="6.5703125" style="254" hidden="1" customWidth="1"/>
    <col min="3091" max="3091" width="5.85546875" style="254" hidden="1" customWidth="1"/>
    <col min="3092" max="3092" width="6.5703125" style="254" hidden="1" customWidth="1"/>
    <col min="3093" max="3093" width="7.85546875" style="254" hidden="1" customWidth="1"/>
    <col min="3094" max="3096" width="4.28515625" style="254" hidden="1" customWidth="1"/>
    <col min="3097" max="3097" width="4.7109375" style="254" hidden="1" customWidth="1"/>
    <col min="3098" max="3098" width="4" style="254" hidden="1" customWidth="1"/>
    <col min="3099" max="3099" width="4.7109375" style="254" hidden="1" customWidth="1"/>
    <col min="3100" max="3100" width="5.85546875" style="254" hidden="1" customWidth="1"/>
    <col min="3101" max="3101" width="4.5703125" style="254" hidden="1" customWidth="1"/>
    <col min="3102" max="3102" width="7.85546875" style="254" hidden="1" customWidth="1"/>
    <col min="3103" max="3103" width="3.85546875" style="254" hidden="1" customWidth="1"/>
    <col min="3104" max="3104" width="6.7109375" style="254" hidden="1" customWidth="1"/>
    <col min="3105" max="3105" width="4.42578125" style="254" hidden="1" customWidth="1"/>
    <col min="3106" max="3106" width="5.28515625" style="254" hidden="1" customWidth="1"/>
    <col min="3107" max="3107" width="4.7109375" style="254" hidden="1" customWidth="1"/>
    <col min="3108" max="3109" width="6.7109375" style="254" hidden="1" customWidth="1"/>
    <col min="3110" max="3110" width="5" style="254" hidden="1" customWidth="1"/>
    <col min="3111" max="3111" width="6.5703125" style="254" hidden="1" customWidth="1"/>
    <col min="3112" max="3112" width="3.85546875" style="254" hidden="1" customWidth="1"/>
    <col min="3113" max="3114" width="7.140625" style="254" hidden="1" customWidth="1"/>
    <col min="3115" max="3115" width="1.140625" style="254" hidden="1" customWidth="1"/>
    <col min="3116" max="3331" width="0" style="254" hidden="1" customWidth="1"/>
    <col min="3332" max="3332" width="3.7109375" style="254" hidden="1" customWidth="1"/>
    <col min="3333" max="3333" width="9.7109375" style="254" hidden="1" customWidth="1"/>
    <col min="3334" max="3334" width="7" style="254" hidden="1" customWidth="1"/>
    <col min="3335" max="3336" width="3.7109375" style="254" hidden="1" customWidth="1"/>
    <col min="3337" max="3337" width="4.5703125" style="254" hidden="1" customWidth="1"/>
    <col min="3338" max="3338" width="5" style="254" hidden="1" customWidth="1"/>
    <col min="3339" max="3339" width="4.140625" style="254" hidden="1" customWidth="1"/>
    <col min="3340" max="3340" width="4.85546875" style="254" hidden="1" customWidth="1"/>
    <col min="3341" max="3342" width="6" style="254" hidden="1" customWidth="1"/>
    <col min="3343" max="3343" width="4.7109375" style="254" hidden="1" customWidth="1"/>
    <col min="3344" max="3344" width="7.85546875" style="254" hidden="1" customWidth="1"/>
    <col min="3345" max="3345" width="4" style="254" hidden="1" customWidth="1"/>
    <col min="3346" max="3346" width="6.5703125" style="254" hidden="1" customWidth="1"/>
    <col min="3347" max="3347" width="5.85546875" style="254" hidden="1" customWidth="1"/>
    <col min="3348" max="3348" width="6.5703125" style="254" hidden="1" customWidth="1"/>
    <col min="3349" max="3349" width="7.85546875" style="254" hidden="1" customWidth="1"/>
    <col min="3350" max="3352" width="4.28515625" style="254" hidden="1" customWidth="1"/>
    <col min="3353" max="3353" width="4.7109375" style="254" hidden="1" customWidth="1"/>
    <col min="3354" max="3354" width="4" style="254" hidden="1" customWidth="1"/>
    <col min="3355" max="3355" width="4.7109375" style="254" hidden="1" customWidth="1"/>
    <col min="3356" max="3356" width="5.85546875" style="254" hidden="1" customWidth="1"/>
    <col min="3357" max="3357" width="4.5703125" style="254" hidden="1" customWidth="1"/>
    <col min="3358" max="3358" width="7.85546875" style="254" hidden="1" customWidth="1"/>
    <col min="3359" max="3359" width="3.85546875" style="254" hidden="1" customWidth="1"/>
    <col min="3360" max="3360" width="6.7109375" style="254" hidden="1" customWidth="1"/>
    <col min="3361" max="3361" width="4.42578125" style="254" hidden="1" customWidth="1"/>
    <col min="3362" max="3362" width="5.28515625" style="254" hidden="1" customWidth="1"/>
    <col min="3363" max="3363" width="4.7109375" style="254" hidden="1" customWidth="1"/>
    <col min="3364" max="3365" width="6.7109375" style="254" hidden="1" customWidth="1"/>
    <col min="3366" max="3366" width="5" style="254" hidden="1" customWidth="1"/>
    <col min="3367" max="3367" width="6.5703125" style="254" hidden="1" customWidth="1"/>
    <col min="3368" max="3368" width="3.85546875" style="254" hidden="1" customWidth="1"/>
    <col min="3369" max="3370" width="7.140625" style="254" hidden="1" customWidth="1"/>
    <col min="3371" max="3371" width="1.140625" style="254" hidden="1" customWidth="1"/>
    <col min="3372" max="3587" width="0" style="254" hidden="1" customWidth="1"/>
    <col min="3588" max="3588" width="3.7109375" style="254" hidden="1" customWidth="1"/>
    <col min="3589" max="3589" width="9.7109375" style="254" hidden="1" customWidth="1"/>
    <col min="3590" max="3590" width="7" style="254" hidden="1" customWidth="1"/>
    <col min="3591" max="3592" width="3.7109375" style="254" hidden="1" customWidth="1"/>
    <col min="3593" max="3593" width="4.5703125" style="254" hidden="1" customWidth="1"/>
    <col min="3594" max="3594" width="5" style="254" hidden="1" customWidth="1"/>
    <col min="3595" max="3595" width="4.140625" style="254" hidden="1" customWidth="1"/>
    <col min="3596" max="3596" width="4.85546875" style="254" hidden="1" customWidth="1"/>
    <col min="3597" max="3598" width="6" style="254" hidden="1" customWidth="1"/>
    <col min="3599" max="3599" width="4.7109375" style="254" hidden="1" customWidth="1"/>
    <col min="3600" max="3600" width="7.85546875" style="254" hidden="1" customWidth="1"/>
    <col min="3601" max="3601" width="4" style="254" hidden="1" customWidth="1"/>
    <col min="3602" max="3602" width="6.5703125" style="254" hidden="1" customWidth="1"/>
    <col min="3603" max="3603" width="5.85546875" style="254" hidden="1" customWidth="1"/>
    <col min="3604" max="3604" width="6.5703125" style="254" hidden="1" customWidth="1"/>
    <col min="3605" max="3605" width="7.85546875" style="254" hidden="1" customWidth="1"/>
    <col min="3606" max="3608" width="4.28515625" style="254" hidden="1" customWidth="1"/>
    <col min="3609" max="3609" width="4.7109375" style="254" hidden="1" customWidth="1"/>
    <col min="3610" max="3610" width="4" style="254" hidden="1" customWidth="1"/>
    <col min="3611" max="3611" width="4.7109375" style="254" hidden="1" customWidth="1"/>
    <col min="3612" max="3612" width="5.85546875" style="254" hidden="1" customWidth="1"/>
    <col min="3613" max="3613" width="4.5703125" style="254" hidden="1" customWidth="1"/>
    <col min="3614" max="3614" width="7.85546875" style="254" hidden="1" customWidth="1"/>
    <col min="3615" max="3615" width="3.85546875" style="254" hidden="1" customWidth="1"/>
    <col min="3616" max="3616" width="6.7109375" style="254" hidden="1" customWidth="1"/>
    <col min="3617" max="3617" width="4.42578125" style="254" hidden="1" customWidth="1"/>
    <col min="3618" max="3618" width="5.28515625" style="254" hidden="1" customWidth="1"/>
    <col min="3619" max="3619" width="4.7109375" style="254" hidden="1" customWidth="1"/>
    <col min="3620" max="3621" width="6.7109375" style="254" hidden="1" customWidth="1"/>
    <col min="3622" max="3622" width="5" style="254" hidden="1" customWidth="1"/>
    <col min="3623" max="3623" width="6.5703125" style="254" hidden="1" customWidth="1"/>
    <col min="3624" max="3624" width="3.85546875" style="254" hidden="1" customWidth="1"/>
    <col min="3625" max="3626" width="7.140625" style="254" hidden="1" customWidth="1"/>
    <col min="3627" max="3627" width="1.140625" style="254" hidden="1" customWidth="1"/>
    <col min="3628" max="3843" width="0" style="254" hidden="1" customWidth="1"/>
    <col min="3844" max="3844" width="3.7109375" style="254" hidden="1" customWidth="1"/>
    <col min="3845" max="3845" width="9.7109375" style="254" hidden="1" customWidth="1"/>
    <col min="3846" max="3846" width="7" style="254" hidden="1" customWidth="1"/>
    <col min="3847" max="3848" width="3.7109375" style="254" hidden="1" customWidth="1"/>
    <col min="3849" max="3849" width="4.5703125" style="254" hidden="1" customWidth="1"/>
    <col min="3850" max="3850" width="5" style="254" hidden="1" customWidth="1"/>
    <col min="3851" max="3851" width="4.140625" style="254" hidden="1" customWidth="1"/>
    <col min="3852" max="3852" width="4.85546875" style="254" hidden="1" customWidth="1"/>
    <col min="3853" max="3854" width="6" style="254" hidden="1" customWidth="1"/>
    <col min="3855" max="3855" width="4.7109375" style="254" hidden="1" customWidth="1"/>
    <col min="3856" max="3856" width="7.85546875" style="254" hidden="1" customWidth="1"/>
    <col min="3857" max="3857" width="4" style="254" hidden="1" customWidth="1"/>
    <col min="3858" max="3858" width="6.5703125" style="254" hidden="1" customWidth="1"/>
    <col min="3859" max="3859" width="5.85546875" style="254" hidden="1" customWidth="1"/>
    <col min="3860" max="3860" width="6.5703125" style="254" hidden="1" customWidth="1"/>
    <col min="3861" max="3861" width="7.85546875" style="254" hidden="1" customWidth="1"/>
    <col min="3862" max="3864" width="4.28515625" style="254" hidden="1" customWidth="1"/>
    <col min="3865" max="3865" width="4.7109375" style="254" hidden="1" customWidth="1"/>
    <col min="3866" max="3866" width="4" style="254" hidden="1" customWidth="1"/>
    <col min="3867" max="3867" width="4.7109375" style="254" hidden="1" customWidth="1"/>
    <col min="3868" max="3868" width="5.85546875" style="254" hidden="1" customWidth="1"/>
    <col min="3869" max="3869" width="4.5703125" style="254" hidden="1" customWidth="1"/>
    <col min="3870" max="3870" width="7.85546875" style="254" hidden="1" customWidth="1"/>
    <col min="3871" max="3871" width="3.85546875" style="254" hidden="1" customWidth="1"/>
    <col min="3872" max="3872" width="6.7109375" style="254" hidden="1" customWidth="1"/>
    <col min="3873" max="3873" width="4.42578125" style="254" hidden="1" customWidth="1"/>
    <col min="3874" max="3874" width="5.28515625" style="254" hidden="1" customWidth="1"/>
    <col min="3875" max="3875" width="4.7109375" style="254" hidden="1" customWidth="1"/>
    <col min="3876" max="3877" width="6.7109375" style="254" hidden="1" customWidth="1"/>
    <col min="3878" max="3878" width="5" style="254" hidden="1" customWidth="1"/>
    <col min="3879" max="3879" width="6.5703125" style="254" hidden="1" customWidth="1"/>
    <col min="3880" max="3880" width="3.85546875" style="254" hidden="1" customWidth="1"/>
    <col min="3881" max="3882" width="7.140625" style="254" hidden="1" customWidth="1"/>
    <col min="3883" max="3883" width="1.140625" style="254" hidden="1" customWidth="1"/>
    <col min="3884" max="4099" width="0" style="254" hidden="1" customWidth="1"/>
    <col min="4100" max="4100" width="3.7109375" style="254" hidden="1" customWidth="1"/>
    <col min="4101" max="4101" width="9.7109375" style="254" hidden="1" customWidth="1"/>
    <col min="4102" max="4102" width="7" style="254" hidden="1" customWidth="1"/>
    <col min="4103" max="4104" width="3.7109375" style="254" hidden="1" customWidth="1"/>
    <col min="4105" max="4105" width="4.5703125" style="254" hidden="1" customWidth="1"/>
    <col min="4106" max="4106" width="5" style="254" hidden="1" customWidth="1"/>
    <col min="4107" max="4107" width="4.140625" style="254" hidden="1" customWidth="1"/>
    <col min="4108" max="4108" width="4.85546875" style="254" hidden="1" customWidth="1"/>
    <col min="4109" max="4110" width="6" style="254" hidden="1" customWidth="1"/>
    <col min="4111" max="4111" width="4.7109375" style="254" hidden="1" customWidth="1"/>
    <col min="4112" max="4112" width="7.85546875" style="254" hidden="1" customWidth="1"/>
    <col min="4113" max="4113" width="4" style="254" hidden="1" customWidth="1"/>
    <col min="4114" max="4114" width="6.5703125" style="254" hidden="1" customWidth="1"/>
    <col min="4115" max="4115" width="5.85546875" style="254" hidden="1" customWidth="1"/>
    <col min="4116" max="4116" width="6.5703125" style="254" hidden="1" customWidth="1"/>
    <col min="4117" max="4117" width="7.85546875" style="254" hidden="1" customWidth="1"/>
    <col min="4118" max="4120" width="4.28515625" style="254" hidden="1" customWidth="1"/>
    <col min="4121" max="4121" width="4.7109375" style="254" hidden="1" customWidth="1"/>
    <col min="4122" max="4122" width="4" style="254" hidden="1" customWidth="1"/>
    <col min="4123" max="4123" width="4.7109375" style="254" hidden="1" customWidth="1"/>
    <col min="4124" max="4124" width="5.85546875" style="254" hidden="1" customWidth="1"/>
    <col min="4125" max="4125" width="4.5703125" style="254" hidden="1" customWidth="1"/>
    <col min="4126" max="4126" width="7.85546875" style="254" hidden="1" customWidth="1"/>
    <col min="4127" max="4127" width="3.85546875" style="254" hidden="1" customWidth="1"/>
    <col min="4128" max="4128" width="6.7109375" style="254" hidden="1" customWidth="1"/>
    <col min="4129" max="4129" width="4.42578125" style="254" hidden="1" customWidth="1"/>
    <col min="4130" max="4130" width="5.28515625" style="254" hidden="1" customWidth="1"/>
    <col min="4131" max="4131" width="4.7109375" style="254" hidden="1" customWidth="1"/>
    <col min="4132" max="4133" width="6.7109375" style="254" hidden="1" customWidth="1"/>
    <col min="4134" max="4134" width="5" style="254" hidden="1" customWidth="1"/>
    <col min="4135" max="4135" width="6.5703125" style="254" hidden="1" customWidth="1"/>
    <col min="4136" max="4136" width="3.85546875" style="254" hidden="1" customWidth="1"/>
    <col min="4137" max="4138" width="7.140625" style="254" hidden="1" customWidth="1"/>
    <col min="4139" max="4139" width="1.140625" style="254" hidden="1" customWidth="1"/>
    <col min="4140" max="4355" width="0" style="254" hidden="1" customWidth="1"/>
    <col min="4356" max="4356" width="3.7109375" style="254" hidden="1" customWidth="1"/>
    <col min="4357" max="4357" width="9.7109375" style="254" hidden="1" customWidth="1"/>
    <col min="4358" max="4358" width="7" style="254" hidden="1" customWidth="1"/>
    <col min="4359" max="4360" width="3.7109375" style="254" hidden="1" customWidth="1"/>
    <col min="4361" max="4361" width="4.5703125" style="254" hidden="1" customWidth="1"/>
    <col min="4362" max="4362" width="5" style="254" hidden="1" customWidth="1"/>
    <col min="4363" max="4363" width="4.140625" style="254" hidden="1" customWidth="1"/>
    <col min="4364" max="4364" width="4.85546875" style="254" hidden="1" customWidth="1"/>
    <col min="4365" max="4366" width="6" style="254" hidden="1" customWidth="1"/>
    <col min="4367" max="4367" width="4.7109375" style="254" hidden="1" customWidth="1"/>
    <col min="4368" max="4368" width="7.85546875" style="254" hidden="1" customWidth="1"/>
    <col min="4369" max="4369" width="4" style="254" hidden="1" customWidth="1"/>
    <col min="4370" max="4370" width="6.5703125" style="254" hidden="1" customWidth="1"/>
    <col min="4371" max="4371" width="5.85546875" style="254" hidden="1" customWidth="1"/>
    <col min="4372" max="4372" width="6.5703125" style="254" hidden="1" customWidth="1"/>
    <col min="4373" max="4373" width="7.85546875" style="254" hidden="1" customWidth="1"/>
    <col min="4374" max="4376" width="4.28515625" style="254" hidden="1" customWidth="1"/>
    <col min="4377" max="4377" width="4.7109375" style="254" hidden="1" customWidth="1"/>
    <col min="4378" max="4378" width="4" style="254" hidden="1" customWidth="1"/>
    <col min="4379" max="4379" width="4.7109375" style="254" hidden="1" customWidth="1"/>
    <col min="4380" max="4380" width="5.85546875" style="254" hidden="1" customWidth="1"/>
    <col min="4381" max="4381" width="4.5703125" style="254" hidden="1" customWidth="1"/>
    <col min="4382" max="4382" width="7.85546875" style="254" hidden="1" customWidth="1"/>
    <col min="4383" max="4383" width="3.85546875" style="254" hidden="1" customWidth="1"/>
    <col min="4384" max="4384" width="6.7109375" style="254" hidden="1" customWidth="1"/>
    <col min="4385" max="4385" width="4.42578125" style="254" hidden="1" customWidth="1"/>
    <col min="4386" max="4386" width="5.28515625" style="254" hidden="1" customWidth="1"/>
    <col min="4387" max="4387" width="4.7109375" style="254" hidden="1" customWidth="1"/>
    <col min="4388" max="4389" width="6.7109375" style="254" hidden="1" customWidth="1"/>
    <col min="4390" max="4390" width="5" style="254" hidden="1" customWidth="1"/>
    <col min="4391" max="4391" width="6.5703125" style="254" hidden="1" customWidth="1"/>
    <col min="4392" max="4392" width="3.85546875" style="254" hidden="1" customWidth="1"/>
    <col min="4393" max="4394" width="7.140625" style="254" hidden="1" customWidth="1"/>
    <col min="4395" max="4395" width="1.140625" style="254" hidden="1" customWidth="1"/>
    <col min="4396" max="4611" width="0" style="254" hidden="1" customWidth="1"/>
    <col min="4612" max="4612" width="3.7109375" style="254" hidden="1" customWidth="1"/>
    <col min="4613" max="4613" width="9.7109375" style="254" hidden="1" customWidth="1"/>
    <col min="4614" max="4614" width="7" style="254" hidden="1" customWidth="1"/>
    <col min="4615" max="4616" width="3.7109375" style="254" hidden="1" customWidth="1"/>
    <col min="4617" max="4617" width="4.5703125" style="254" hidden="1" customWidth="1"/>
    <col min="4618" max="4618" width="5" style="254" hidden="1" customWidth="1"/>
    <col min="4619" max="4619" width="4.140625" style="254" hidden="1" customWidth="1"/>
    <col min="4620" max="4620" width="4.85546875" style="254" hidden="1" customWidth="1"/>
    <col min="4621" max="4622" width="6" style="254" hidden="1" customWidth="1"/>
    <col min="4623" max="4623" width="4.7109375" style="254" hidden="1" customWidth="1"/>
    <col min="4624" max="4624" width="7.85546875" style="254" hidden="1" customWidth="1"/>
    <col min="4625" max="4625" width="4" style="254" hidden="1" customWidth="1"/>
    <col min="4626" max="4626" width="6.5703125" style="254" hidden="1" customWidth="1"/>
    <col min="4627" max="4627" width="5.85546875" style="254" hidden="1" customWidth="1"/>
    <col min="4628" max="4628" width="6.5703125" style="254" hidden="1" customWidth="1"/>
    <col min="4629" max="4629" width="7.85546875" style="254" hidden="1" customWidth="1"/>
    <col min="4630" max="4632" width="4.28515625" style="254" hidden="1" customWidth="1"/>
    <col min="4633" max="4633" width="4.7109375" style="254" hidden="1" customWidth="1"/>
    <col min="4634" max="4634" width="4" style="254" hidden="1" customWidth="1"/>
    <col min="4635" max="4635" width="4.7109375" style="254" hidden="1" customWidth="1"/>
    <col min="4636" max="4636" width="5.85546875" style="254" hidden="1" customWidth="1"/>
    <col min="4637" max="4637" width="4.5703125" style="254" hidden="1" customWidth="1"/>
    <col min="4638" max="4638" width="7.85546875" style="254" hidden="1" customWidth="1"/>
    <col min="4639" max="4639" width="3.85546875" style="254" hidden="1" customWidth="1"/>
    <col min="4640" max="4640" width="6.7109375" style="254" hidden="1" customWidth="1"/>
    <col min="4641" max="4641" width="4.42578125" style="254" hidden="1" customWidth="1"/>
    <col min="4642" max="4642" width="5.28515625" style="254" hidden="1" customWidth="1"/>
    <col min="4643" max="4643" width="4.7109375" style="254" hidden="1" customWidth="1"/>
    <col min="4644" max="4645" width="6.7109375" style="254" hidden="1" customWidth="1"/>
    <col min="4646" max="4646" width="5" style="254" hidden="1" customWidth="1"/>
    <col min="4647" max="4647" width="6.5703125" style="254" hidden="1" customWidth="1"/>
    <col min="4648" max="4648" width="3.85546875" style="254" hidden="1" customWidth="1"/>
    <col min="4649" max="4650" width="7.140625" style="254" hidden="1" customWidth="1"/>
    <col min="4651" max="4651" width="1.140625" style="254" hidden="1" customWidth="1"/>
    <col min="4652" max="4867" width="0" style="254" hidden="1" customWidth="1"/>
    <col min="4868" max="4868" width="3.7109375" style="254" hidden="1" customWidth="1"/>
    <col min="4869" max="4869" width="9.7109375" style="254" hidden="1" customWidth="1"/>
    <col min="4870" max="4870" width="7" style="254" hidden="1" customWidth="1"/>
    <col min="4871" max="4872" width="3.7109375" style="254" hidden="1" customWidth="1"/>
    <col min="4873" max="4873" width="4.5703125" style="254" hidden="1" customWidth="1"/>
    <col min="4874" max="4874" width="5" style="254" hidden="1" customWidth="1"/>
    <col min="4875" max="4875" width="4.140625" style="254" hidden="1" customWidth="1"/>
    <col min="4876" max="4876" width="4.85546875" style="254" hidden="1" customWidth="1"/>
    <col min="4877" max="4878" width="6" style="254" hidden="1" customWidth="1"/>
    <col min="4879" max="4879" width="4.7109375" style="254" hidden="1" customWidth="1"/>
    <col min="4880" max="4880" width="7.85546875" style="254" hidden="1" customWidth="1"/>
    <col min="4881" max="4881" width="4" style="254" hidden="1" customWidth="1"/>
    <col min="4882" max="4882" width="6.5703125" style="254" hidden="1" customWidth="1"/>
    <col min="4883" max="4883" width="5.85546875" style="254" hidden="1" customWidth="1"/>
    <col min="4884" max="4884" width="6.5703125" style="254" hidden="1" customWidth="1"/>
    <col min="4885" max="4885" width="7.85546875" style="254" hidden="1" customWidth="1"/>
    <col min="4886" max="4888" width="4.28515625" style="254" hidden="1" customWidth="1"/>
    <col min="4889" max="4889" width="4.7109375" style="254" hidden="1" customWidth="1"/>
    <col min="4890" max="4890" width="4" style="254" hidden="1" customWidth="1"/>
    <col min="4891" max="4891" width="4.7109375" style="254" hidden="1" customWidth="1"/>
    <col min="4892" max="4892" width="5.85546875" style="254" hidden="1" customWidth="1"/>
    <col min="4893" max="4893" width="4.5703125" style="254" hidden="1" customWidth="1"/>
    <col min="4894" max="4894" width="7.85546875" style="254" hidden="1" customWidth="1"/>
    <col min="4895" max="4895" width="3.85546875" style="254" hidden="1" customWidth="1"/>
    <col min="4896" max="4896" width="6.7109375" style="254" hidden="1" customWidth="1"/>
    <col min="4897" max="4897" width="4.42578125" style="254" hidden="1" customWidth="1"/>
    <col min="4898" max="4898" width="5.28515625" style="254" hidden="1" customWidth="1"/>
    <col min="4899" max="4899" width="4.7109375" style="254" hidden="1" customWidth="1"/>
    <col min="4900" max="4901" width="6.7109375" style="254" hidden="1" customWidth="1"/>
    <col min="4902" max="4902" width="5" style="254" hidden="1" customWidth="1"/>
    <col min="4903" max="4903" width="6.5703125" style="254" hidden="1" customWidth="1"/>
    <col min="4904" max="4904" width="3.85546875" style="254" hidden="1" customWidth="1"/>
    <col min="4905" max="4906" width="7.140625" style="254" hidden="1" customWidth="1"/>
    <col min="4907" max="4907" width="1.140625" style="254" hidden="1" customWidth="1"/>
    <col min="4908" max="5123" width="0" style="254" hidden="1" customWidth="1"/>
    <col min="5124" max="5124" width="3.7109375" style="254" hidden="1" customWidth="1"/>
    <col min="5125" max="5125" width="9.7109375" style="254" hidden="1" customWidth="1"/>
    <col min="5126" max="5126" width="7" style="254" hidden="1" customWidth="1"/>
    <col min="5127" max="5128" width="3.7109375" style="254" hidden="1" customWidth="1"/>
    <col min="5129" max="5129" width="4.5703125" style="254" hidden="1" customWidth="1"/>
    <col min="5130" max="5130" width="5" style="254" hidden="1" customWidth="1"/>
    <col min="5131" max="5131" width="4.140625" style="254" hidden="1" customWidth="1"/>
    <col min="5132" max="5132" width="4.85546875" style="254" hidden="1" customWidth="1"/>
    <col min="5133" max="5134" width="6" style="254" hidden="1" customWidth="1"/>
    <col min="5135" max="5135" width="4.7109375" style="254" hidden="1" customWidth="1"/>
    <col min="5136" max="5136" width="7.85546875" style="254" hidden="1" customWidth="1"/>
    <col min="5137" max="5137" width="4" style="254" hidden="1" customWidth="1"/>
    <col min="5138" max="5138" width="6.5703125" style="254" hidden="1" customWidth="1"/>
    <col min="5139" max="5139" width="5.85546875" style="254" hidden="1" customWidth="1"/>
    <col min="5140" max="5140" width="6.5703125" style="254" hidden="1" customWidth="1"/>
    <col min="5141" max="5141" width="7.85546875" style="254" hidden="1" customWidth="1"/>
    <col min="5142" max="5144" width="4.28515625" style="254" hidden="1" customWidth="1"/>
    <col min="5145" max="5145" width="4.7109375" style="254" hidden="1" customWidth="1"/>
    <col min="5146" max="5146" width="4" style="254" hidden="1" customWidth="1"/>
    <col min="5147" max="5147" width="4.7109375" style="254" hidden="1" customWidth="1"/>
    <col min="5148" max="5148" width="5.85546875" style="254" hidden="1" customWidth="1"/>
    <col min="5149" max="5149" width="4.5703125" style="254" hidden="1" customWidth="1"/>
    <col min="5150" max="5150" width="7.85546875" style="254" hidden="1" customWidth="1"/>
    <col min="5151" max="5151" width="3.85546875" style="254" hidden="1" customWidth="1"/>
    <col min="5152" max="5152" width="6.7109375" style="254" hidden="1" customWidth="1"/>
    <col min="5153" max="5153" width="4.42578125" style="254" hidden="1" customWidth="1"/>
    <col min="5154" max="5154" width="5.28515625" style="254" hidden="1" customWidth="1"/>
    <col min="5155" max="5155" width="4.7109375" style="254" hidden="1" customWidth="1"/>
    <col min="5156" max="5157" width="6.7109375" style="254" hidden="1" customWidth="1"/>
    <col min="5158" max="5158" width="5" style="254" hidden="1" customWidth="1"/>
    <col min="5159" max="5159" width="6.5703125" style="254" hidden="1" customWidth="1"/>
    <col min="5160" max="5160" width="3.85546875" style="254" hidden="1" customWidth="1"/>
    <col min="5161" max="5162" width="7.140625" style="254" hidden="1" customWidth="1"/>
    <col min="5163" max="5163" width="1.140625" style="254" hidden="1" customWidth="1"/>
    <col min="5164" max="5379" width="0" style="254" hidden="1" customWidth="1"/>
    <col min="5380" max="5380" width="3.7109375" style="254" hidden="1" customWidth="1"/>
    <col min="5381" max="5381" width="9.7109375" style="254" hidden="1" customWidth="1"/>
    <col min="5382" max="5382" width="7" style="254" hidden="1" customWidth="1"/>
    <col min="5383" max="5384" width="3.7109375" style="254" hidden="1" customWidth="1"/>
    <col min="5385" max="5385" width="4.5703125" style="254" hidden="1" customWidth="1"/>
    <col min="5386" max="5386" width="5" style="254" hidden="1" customWidth="1"/>
    <col min="5387" max="5387" width="4.140625" style="254" hidden="1" customWidth="1"/>
    <col min="5388" max="5388" width="4.85546875" style="254" hidden="1" customWidth="1"/>
    <col min="5389" max="5390" width="6" style="254" hidden="1" customWidth="1"/>
    <col min="5391" max="5391" width="4.7109375" style="254" hidden="1" customWidth="1"/>
    <col min="5392" max="5392" width="7.85546875" style="254" hidden="1" customWidth="1"/>
    <col min="5393" max="5393" width="4" style="254" hidden="1" customWidth="1"/>
    <col min="5394" max="5394" width="6.5703125" style="254" hidden="1" customWidth="1"/>
    <col min="5395" max="5395" width="5.85546875" style="254" hidden="1" customWidth="1"/>
    <col min="5396" max="5396" width="6.5703125" style="254" hidden="1" customWidth="1"/>
    <col min="5397" max="5397" width="7.85546875" style="254" hidden="1" customWidth="1"/>
    <col min="5398" max="5400" width="4.28515625" style="254" hidden="1" customWidth="1"/>
    <col min="5401" max="5401" width="4.7109375" style="254" hidden="1" customWidth="1"/>
    <col min="5402" max="5402" width="4" style="254" hidden="1" customWidth="1"/>
    <col min="5403" max="5403" width="4.7109375" style="254" hidden="1" customWidth="1"/>
    <col min="5404" max="5404" width="5.85546875" style="254" hidden="1" customWidth="1"/>
    <col min="5405" max="5405" width="4.5703125" style="254" hidden="1" customWidth="1"/>
    <col min="5406" max="5406" width="7.85546875" style="254" hidden="1" customWidth="1"/>
    <col min="5407" max="5407" width="3.85546875" style="254" hidden="1" customWidth="1"/>
    <col min="5408" max="5408" width="6.7109375" style="254" hidden="1" customWidth="1"/>
    <col min="5409" max="5409" width="4.42578125" style="254" hidden="1" customWidth="1"/>
    <col min="5410" max="5410" width="5.28515625" style="254" hidden="1" customWidth="1"/>
    <col min="5411" max="5411" width="4.7109375" style="254" hidden="1" customWidth="1"/>
    <col min="5412" max="5413" width="6.7109375" style="254" hidden="1" customWidth="1"/>
    <col min="5414" max="5414" width="5" style="254" hidden="1" customWidth="1"/>
    <col min="5415" max="5415" width="6.5703125" style="254" hidden="1" customWidth="1"/>
    <col min="5416" max="5416" width="3.85546875" style="254" hidden="1" customWidth="1"/>
    <col min="5417" max="5418" width="7.140625" style="254" hidden="1" customWidth="1"/>
    <col min="5419" max="5419" width="1.140625" style="254" hidden="1" customWidth="1"/>
    <col min="5420" max="5635" width="0" style="254" hidden="1" customWidth="1"/>
    <col min="5636" max="5636" width="3.7109375" style="254" hidden="1" customWidth="1"/>
    <col min="5637" max="5637" width="9.7109375" style="254" hidden="1" customWidth="1"/>
    <col min="5638" max="5638" width="7" style="254" hidden="1" customWidth="1"/>
    <col min="5639" max="5640" width="3.7109375" style="254" hidden="1" customWidth="1"/>
    <col min="5641" max="5641" width="4.5703125" style="254" hidden="1" customWidth="1"/>
    <col min="5642" max="5642" width="5" style="254" hidden="1" customWidth="1"/>
    <col min="5643" max="5643" width="4.140625" style="254" hidden="1" customWidth="1"/>
    <col min="5644" max="5644" width="4.85546875" style="254" hidden="1" customWidth="1"/>
    <col min="5645" max="5646" width="6" style="254" hidden="1" customWidth="1"/>
    <col min="5647" max="5647" width="4.7109375" style="254" hidden="1" customWidth="1"/>
    <col min="5648" max="5648" width="7.85546875" style="254" hidden="1" customWidth="1"/>
    <col min="5649" max="5649" width="4" style="254" hidden="1" customWidth="1"/>
    <col min="5650" max="5650" width="6.5703125" style="254" hidden="1" customWidth="1"/>
    <col min="5651" max="5651" width="5.85546875" style="254" hidden="1" customWidth="1"/>
    <col min="5652" max="5652" width="6.5703125" style="254" hidden="1" customWidth="1"/>
    <col min="5653" max="5653" width="7.85546875" style="254" hidden="1" customWidth="1"/>
    <col min="5654" max="5656" width="4.28515625" style="254" hidden="1" customWidth="1"/>
    <col min="5657" max="5657" width="4.7109375" style="254" hidden="1" customWidth="1"/>
    <col min="5658" max="5658" width="4" style="254" hidden="1" customWidth="1"/>
    <col min="5659" max="5659" width="4.7109375" style="254" hidden="1" customWidth="1"/>
    <col min="5660" max="5660" width="5.85546875" style="254" hidden="1" customWidth="1"/>
    <col min="5661" max="5661" width="4.5703125" style="254" hidden="1" customWidth="1"/>
    <col min="5662" max="5662" width="7.85546875" style="254" hidden="1" customWidth="1"/>
    <col min="5663" max="5663" width="3.85546875" style="254" hidden="1" customWidth="1"/>
    <col min="5664" max="5664" width="6.7109375" style="254" hidden="1" customWidth="1"/>
    <col min="5665" max="5665" width="4.42578125" style="254" hidden="1" customWidth="1"/>
    <col min="5666" max="5666" width="5.28515625" style="254" hidden="1" customWidth="1"/>
    <col min="5667" max="5667" width="4.7109375" style="254" hidden="1" customWidth="1"/>
    <col min="5668" max="5669" width="6.7109375" style="254" hidden="1" customWidth="1"/>
    <col min="5670" max="5670" width="5" style="254" hidden="1" customWidth="1"/>
    <col min="5671" max="5671" width="6.5703125" style="254" hidden="1" customWidth="1"/>
    <col min="5672" max="5672" width="3.85546875" style="254" hidden="1" customWidth="1"/>
    <col min="5673" max="5674" width="7.140625" style="254" hidden="1" customWidth="1"/>
    <col min="5675" max="5675" width="1.140625" style="254" hidden="1" customWidth="1"/>
    <col min="5676" max="5891" width="0" style="254" hidden="1" customWidth="1"/>
    <col min="5892" max="5892" width="3.7109375" style="254" hidden="1" customWidth="1"/>
    <col min="5893" max="5893" width="9.7109375" style="254" hidden="1" customWidth="1"/>
    <col min="5894" max="5894" width="7" style="254" hidden="1" customWidth="1"/>
    <col min="5895" max="5896" width="3.7109375" style="254" hidden="1" customWidth="1"/>
    <col min="5897" max="5897" width="4.5703125" style="254" hidden="1" customWidth="1"/>
    <col min="5898" max="5898" width="5" style="254" hidden="1" customWidth="1"/>
    <col min="5899" max="5899" width="4.140625" style="254" hidden="1" customWidth="1"/>
    <col min="5900" max="5900" width="4.85546875" style="254" hidden="1" customWidth="1"/>
    <col min="5901" max="5902" width="6" style="254" hidden="1" customWidth="1"/>
    <col min="5903" max="5903" width="4.7109375" style="254" hidden="1" customWidth="1"/>
    <col min="5904" max="5904" width="7.85546875" style="254" hidden="1" customWidth="1"/>
    <col min="5905" max="5905" width="4" style="254" hidden="1" customWidth="1"/>
    <col min="5906" max="5906" width="6.5703125" style="254" hidden="1" customWidth="1"/>
    <col min="5907" max="5907" width="5.85546875" style="254" hidden="1" customWidth="1"/>
    <col min="5908" max="5908" width="6.5703125" style="254" hidden="1" customWidth="1"/>
    <col min="5909" max="5909" width="7.85546875" style="254" hidden="1" customWidth="1"/>
    <col min="5910" max="5912" width="4.28515625" style="254" hidden="1" customWidth="1"/>
    <col min="5913" max="5913" width="4.7109375" style="254" hidden="1" customWidth="1"/>
    <col min="5914" max="5914" width="4" style="254" hidden="1" customWidth="1"/>
    <col min="5915" max="5915" width="4.7109375" style="254" hidden="1" customWidth="1"/>
    <col min="5916" max="5916" width="5.85546875" style="254" hidden="1" customWidth="1"/>
    <col min="5917" max="5917" width="4.5703125" style="254" hidden="1" customWidth="1"/>
    <col min="5918" max="5918" width="7.85546875" style="254" hidden="1" customWidth="1"/>
    <col min="5919" max="5919" width="3.85546875" style="254" hidden="1" customWidth="1"/>
    <col min="5920" max="5920" width="6.7109375" style="254" hidden="1" customWidth="1"/>
    <col min="5921" max="5921" width="4.42578125" style="254" hidden="1" customWidth="1"/>
    <col min="5922" max="5922" width="5.28515625" style="254" hidden="1" customWidth="1"/>
    <col min="5923" max="5923" width="4.7109375" style="254" hidden="1" customWidth="1"/>
    <col min="5924" max="5925" width="6.7109375" style="254" hidden="1" customWidth="1"/>
    <col min="5926" max="5926" width="5" style="254" hidden="1" customWidth="1"/>
    <col min="5927" max="5927" width="6.5703125" style="254" hidden="1" customWidth="1"/>
    <col min="5928" max="5928" width="3.85546875" style="254" hidden="1" customWidth="1"/>
    <col min="5929" max="5930" width="7.140625" style="254" hidden="1" customWidth="1"/>
    <col min="5931" max="5931" width="1.140625" style="254" hidden="1" customWidth="1"/>
    <col min="5932" max="6147" width="0" style="254" hidden="1" customWidth="1"/>
    <col min="6148" max="6148" width="3.7109375" style="254" hidden="1" customWidth="1"/>
    <col min="6149" max="6149" width="9.7109375" style="254" hidden="1" customWidth="1"/>
    <col min="6150" max="6150" width="7" style="254" hidden="1" customWidth="1"/>
    <col min="6151" max="6152" width="3.7109375" style="254" hidden="1" customWidth="1"/>
    <col min="6153" max="6153" width="4.5703125" style="254" hidden="1" customWidth="1"/>
    <col min="6154" max="6154" width="5" style="254" hidden="1" customWidth="1"/>
    <col min="6155" max="6155" width="4.140625" style="254" hidden="1" customWidth="1"/>
    <col min="6156" max="6156" width="4.85546875" style="254" hidden="1" customWidth="1"/>
    <col min="6157" max="6158" width="6" style="254" hidden="1" customWidth="1"/>
    <col min="6159" max="6159" width="4.7109375" style="254" hidden="1" customWidth="1"/>
    <col min="6160" max="6160" width="7.85546875" style="254" hidden="1" customWidth="1"/>
    <col min="6161" max="6161" width="4" style="254" hidden="1" customWidth="1"/>
    <col min="6162" max="6162" width="6.5703125" style="254" hidden="1" customWidth="1"/>
    <col min="6163" max="6163" width="5.85546875" style="254" hidden="1" customWidth="1"/>
    <col min="6164" max="6164" width="6.5703125" style="254" hidden="1" customWidth="1"/>
    <col min="6165" max="6165" width="7.85546875" style="254" hidden="1" customWidth="1"/>
    <col min="6166" max="6168" width="4.28515625" style="254" hidden="1" customWidth="1"/>
    <col min="6169" max="6169" width="4.7109375" style="254" hidden="1" customWidth="1"/>
    <col min="6170" max="6170" width="4" style="254" hidden="1" customWidth="1"/>
    <col min="6171" max="6171" width="4.7109375" style="254" hidden="1" customWidth="1"/>
    <col min="6172" max="6172" width="5.85546875" style="254" hidden="1" customWidth="1"/>
    <col min="6173" max="6173" width="4.5703125" style="254" hidden="1" customWidth="1"/>
    <col min="6174" max="6174" width="7.85546875" style="254" hidden="1" customWidth="1"/>
    <col min="6175" max="6175" width="3.85546875" style="254" hidden="1" customWidth="1"/>
    <col min="6176" max="6176" width="6.7109375" style="254" hidden="1" customWidth="1"/>
    <col min="6177" max="6177" width="4.42578125" style="254" hidden="1" customWidth="1"/>
    <col min="6178" max="6178" width="5.28515625" style="254" hidden="1" customWidth="1"/>
    <col min="6179" max="6179" width="4.7109375" style="254" hidden="1" customWidth="1"/>
    <col min="6180" max="6181" width="6.7109375" style="254" hidden="1" customWidth="1"/>
    <col min="6182" max="6182" width="5" style="254" hidden="1" customWidth="1"/>
    <col min="6183" max="6183" width="6.5703125" style="254" hidden="1" customWidth="1"/>
    <col min="6184" max="6184" width="3.85546875" style="254" hidden="1" customWidth="1"/>
    <col min="6185" max="6186" width="7.140625" style="254" hidden="1" customWidth="1"/>
    <col min="6187" max="6187" width="1.140625" style="254" hidden="1" customWidth="1"/>
    <col min="6188" max="6403" width="0" style="254" hidden="1" customWidth="1"/>
    <col min="6404" max="6404" width="3.7109375" style="254" hidden="1" customWidth="1"/>
    <col min="6405" max="6405" width="9.7109375" style="254" hidden="1" customWidth="1"/>
    <col min="6406" max="6406" width="7" style="254" hidden="1" customWidth="1"/>
    <col min="6407" max="6408" width="3.7109375" style="254" hidden="1" customWidth="1"/>
    <col min="6409" max="6409" width="4.5703125" style="254" hidden="1" customWidth="1"/>
    <col min="6410" max="6410" width="5" style="254" hidden="1" customWidth="1"/>
    <col min="6411" max="6411" width="4.140625" style="254" hidden="1" customWidth="1"/>
    <col min="6412" max="6412" width="4.85546875" style="254" hidden="1" customWidth="1"/>
    <col min="6413" max="6414" width="6" style="254" hidden="1" customWidth="1"/>
    <col min="6415" max="6415" width="4.7109375" style="254" hidden="1" customWidth="1"/>
    <col min="6416" max="6416" width="7.85546875" style="254" hidden="1" customWidth="1"/>
    <col min="6417" max="6417" width="4" style="254" hidden="1" customWidth="1"/>
    <col min="6418" max="6418" width="6.5703125" style="254" hidden="1" customWidth="1"/>
    <col min="6419" max="6419" width="5.85546875" style="254" hidden="1" customWidth="1"/>
    <col min="6420" max="6420" width="6.5703125" style="254" hidden="1" customWidth="1"/>
    <col min="6421" max="6421" width="7.85546875" style="254" hidden="1" customWidth="1"/>
    <col min="6422" max="6424" width="4.28515625" style="254" hidden="1" customWidth="1"/>
    <col min="6425" max="6425" width="4.7109375" style="254" hidden="1" customWidth="1"/>
    <col min="6426" max="6426" width="4" style="254" hidden="1" customWidth="1"/>
    <col min="6427" max="6427" width="4.7109375" style="254" hidden="1" customWidth="1"/>
    <col min="6428" max="6428" width="5.85546875" style="254" hidden="1" customWidth="1"/>
    <col min="6429" max="6429" width="4.5703125" style="254" hidden="1" customWidth="1"/>
    <col min="6430" max="6430" width="7.85546875" style="254" hidden="1" customWidth="1"/>
    <col min="6431" max="6431" width="3.85546875" style="254" hidden="1" customWidth="1"/>
    <col min="6432" max="6432" width="6.7109375" style="254" hidden="1" customWidth="1"/>
    <col min="6433" max="6433" width="4.42578125" style="254" hidden="1" customWidth="1"/>
    <col min="6434" max="6434" width="5.28515625" style="254" hidden="1" customWidth="1"/>
    <col min="6435" max="6435" width="4.7109375" style="254" hidden="1" customWidth="1"/>
    <col min="6436" max="6437" width="6.7109375" style="254" hidden="1" customWidth="1"/>
    <col min="6438" max="6438" width="5" style="254" hidden="1" customWidth="1"/>
    <col min="6439" max="6439" width="6.5703125" style="254" hidden="1" customWidth="1"/>
    <col min="6440" max="6440" width="3.85546875" style="254" hidden="1" customWidth="1"/>
    <col min="6441" max="6442" width="7.140625" style="254" hidden="1" customWidth="1"/>
    <col min="6443" max="6443" width="1.140625" style="254" hidden="1" customWidth="1"/>
    <col min="6444" max="6659" width="0" style="254" hidden="1" customWidth="1"/>
    <col min="6660" max="6660" width="3.7109375" style="254" hidden="1" customWidth="1"/>
    <col min="6661" max="6661" width="9.7109375" style="254" hidden="1" customWidth="1"/>
    <col min="6662" max="6662" width="7" style="254" hidden="1" customWidth="1"/>
    <col min="6663" max="6664" width="3.7109375" style="254" hidden="1" customWidth="1"/>
    <col min="6665" max="6665" width="4.5703125" style="254" hidden="1" customWidth="1"/>
    <col min="6666" max="6666" width="5" style="254" hidden="1" customWidth="1"/>
    <col min="6667" max="6667" width="4.140625" style="254" hidden="1" customWidth="1"/>
    <col min="6668" max="6668" width="4.85546875" style="254" hidden="1" customWidth="1"/>
    <col min="6669" max="6670" width="6" style="254" hidden="1" customWidth="1"/>
    <col min="6671" max="6671" width="4.7109375" style="254" hidden="1" customWidth="1"/>
    <col min="6672" max="6672" width="7.85546875" style="254" hidden="1" customWidth="1"/>
    <col min="6673" max="6673" width="4" style="254" hidden="1" customWidth="1"/>
    <col min="6674" max="6674" width="6.5703125" style="254" hidden="1" customWidth="1"/>
    <col min="6675" max="6675" width="5.85546875" style="254" hidden="1" customWidth="1"/>
    <col min="6676" max="6676" width="6.5703125" style="254" hidden="1" customWidth="1"/>
    <col min="6677" max="6677" width="7.85546875" style="254" hidden="1" customWidth="1"/>
    <col min="6678" max="6680" width="4.28515625" style="254" hidden="1" customWidth="1"/>
    <col min="6681" max="6681" width="4.7109375" style="254" hidden="1" customWidth="1"/>
    <col min="6682" max="6682" width="4" style="254" hidden="1" customWidth="1"/>
    <col min="6683" max="6683" width="4.7109375" style="254" hidden="1" customWidth="1"/>
    <col min="6684" max="6684" width="5.85546875" style="254" hidden="1" customWidth="1"/>
    <col min="6685" max="6685" width="4.5703125" style="254" hidden="1" customWidth="1"/>
    <col min="6686" max="6686" width="7.85546875" style="254" hidden="1" customWidth="1"/>
    <col min="6687" max="6687" width="3.85546875" style="254" hidden="1" customWidth="1"/>
    <col min="6688" max="6688" width="6.7109375" style="254" hidden="1" customWidth="1"/>
    <col min="6689" max="6689" width="4.42578125" style="254" hidden="1" customWidth="1"/>
    <col min="6690" max="6690" width="5.28515625" style="254" hidden="1" customWidth="1"/>
    <col min="6691" max="6691" width="4.7109375" style="254" hidden="1" customWidth="1"/>
    <col min="6692" max="6693" width="6.7109375" style="254" hidden="1" customWidth="1"/>
    <col min="6694" max="6694" width="5" style="254" hidden="1" customWidth="1"/>
    <col min="6695" max="6695" width="6.5703125" style="254" hidden="1" customWidth="1"/>
    <col min="6696" max="6696" width="3.85546875" style="254" hidden="1" customWidth="1"/>
    <col min="6697" max="6698" width="7.140625" style="254" hidden="1" customWidth="1"/>
    <col min="6699" max="6699" width="1.140625" style="254" hidden="1" customWidth="1"/>
    <col min="6700" max="6915" width="0" style="254" hidden="1" customWidth="1"/>
    <col min="6916" max="6916" width="3.7109375" style="254" hidden="1" customWidth="1"/>
    <col min="6917" max="6917" width="9.7109375" style="254" hidden="1" customWidth="1"/>
    <col min="6918" max="6918" width="7" style="254" hidden="1" customWidth="1"/>
    <col min="6919" max="6920" width="3.7109375" style="254" hidden="1" customWidth="1"/>
    <col min="6921" max="6921" width="4.5703125" style="254" hidden="1" customWidth="1"/>
    <col min="6922" max="6922" width="5" style="254" hidden="1" customWidth="1"/>
    <col min="6923" max="6923" width="4.140625" style="254" hidden="1" customWidth="1"/>
    <col min="6924" max="6924" width="4.85546875" style="254" hidden="1" customWidth="1"/>
    <col min="6925" max="6926" width="6" style="254" hidden="1" customWidth="1"/>
    <col min="6927" max="6927" width="4.7109375" style="254" hidden="1" customWidth="1"/>
    <col min="6928" max="6928" width="7.85546875" style="254" hidden="1" customWidth="1"/>
    <col min="6929" max="6929" width="4" style="254" hidden="1" customWidth="1"/>
    <col min="6930" max="6930" width="6.5703125" style="254" hidden="1" customWidth="1"/>
    <col min="6931" max="6931" width="5.85546875" style="254" hidden="1" customWidth="1"/>
    <col min="6932" max="6932" width="6.5703125" style="254" hidden="1" customWidth="1"/>
    <col min="6933" max="6933" width="7.85546875" style="254" hidden="1" customWidth="1"/>
    <col min="6934" max="6936" width="4.28515625" style="254" hidden="1" customWidth="1"/>
    <col min="6937" max="6937" width="4.7109375" style="254" hidden="1" customWidth="1"/>
    <col min="6938" max="6938" width="4" style="254" hidden="1" customWidth="1"/>
    <col min="6939" max="6939" width="4.7109375" style="254" hidden="1" customWidth="1"/>
    <col min="6940" max="6940" width="5.85546875" style="254" hidden="1" customWidth="1"/>
    <col min="6941" max="6941" width="4.5703125" style="254" hidden="1" customWidth="1"/>
    <col min="6942" max="6942" width="7.85546875" style="254" hidden="1" customWidth="1"/>
    <col min="6943" max="6943" width="3.85546875" style="254" hidden="1" customWidth="1"/>
    <col min="6944" max="6944" width="6.7109375" style="254" hidden="1" customWidth="1"/>
    <col min="6945" max="6945" width="4.42578125" style="254" hidden="1" customWidth="1"/>
    <col min="6946" max="6946" width="5.28515625" style="254" hidden="1" customWidth="1"/>
    <col min="6947" max="6947" width="4.7109375" style="254" hidden="1" customWidth="1"/>
    <col min="6948" max="6949" width="6.7109375" style="254" hidden="1" customWidth="1"/>
    <col min="6950" max="6950" width="5" style="254" hidden="1" customWidth="1"/>
    <col min="6951" max="6951" width="6.5703125" style="254" hidden="1" customWidth="1"/>
    <col min="6952" max="6952" width="3.85546875" style="254" hidden="1" customWidth="1"/>
    <col min="6953" max="6954" width="7.140625" style="254" hidden="1" customWidth="1"/>
    <col min="6955" max="6955" width="1.140625" style="254" hidden="1" customWidth="1"/>
    <col min="6956" max="7171" width="0" style="254" hidden="1" customWidth="1"/>
    <col min="7172" max="7172" width="3.7109375" style="254" hidden="1" customWidth="1"/>
    <col min="7173" max="7173" width="9.7109375" style="254" hidden="1" customWidth="1"/>
    <col min="7174" max="7174" width="7" style="254" hidden="1" customWidth="1"/>
    <col min="7175" max="7176" width="3.7109375" style="254" hidden="1" customWidth="1"/>
    <col min="7177" max="7177" width="4.5703125" style="254" hidden="1" customWidth="1"/>
    <col min="7178" max="7178" width="5" style="254" hidden="1" customWidth="1"/>
    <col min="7179" max="7179" width="4.140625" style="254" hidden="1" customWidth="1"/>
    <col min="7180" max="7180" width="4.85546875" style="254" hidden="1" customWidth="1"/>
    <col min="7181" max="7182" width="6" style="254" hidden="1" customWidth="1"/>
    <col min="7183" max="7183" width="4.7109375" style="254" hidden="1" customWidth="1"/>
    <col min="7184" max="7184" width="7.85546875" style="254" hidden="1" customWidth="1"/>
    <col min="7185" max="7185" width="4" style="254" hidden="1" customWidth="1"/>
    <col min="7186" max="7186" width="6.5703125" style="254" hidden="1" customWidth="1"/>
    <col min="7187" max="7187" width="5.85546875" style="254" hidden="1" customWidth="1"/>
    <col min="7188" max="7188" width="6.5703125" style="254" hidden="1" customWidth="1"/>
    <col min="7189" max="7189" width="7.85546875" style="254" hidden="1" customWidth="1"/>
    <col min="7190" max="7192" width="4.28515625" style="254" hidden="1" customWidth="1"/>
    <col min="7193" max="7193" width="4.7109375" style="254" hidden="1" customWidth="1"/>
    <col min="7194" max="7194" width="4" style="254" hidden="1" customWidth="1"/>
    <col min="7195" max="7195" width="4.7109375" style="254" hidden="1" customWidth="1"/>
    <col min="7196" max="7196" width="5.85546875" style="254" hidden="1" customWidth="1"/>
    <col min="7197" max="7197" width="4.5703125" style="254" hidden="1" customWidth="1"/>
    <col min="7198" max="7198" width="7.85546875" style="254" hidden="1" customWidth="1"/>
    <col min="7199" max="7199" width="3.85546875" style="254" hidden="1" customWidth="1"/>
    <col min="7200" max="7200" width="6.7109375" style="254" hidden="1" customWidth="1"/>
    <col min="7201" max="7201" width="4.42578125" style="254" hidden="1" customWidth="1"/>
    <col min="7202" max="7202" width="5.28515625" style="254" hidden="1" customWidth="1"/>
    <col min="7203" max="7203" width="4.7109375" style="254" hidden="1" customWidth="1"/>
    <col min="7204" max="7205" width="6.7109375" style="254" hidden="1" customWidth="1"/>
    <col min="7206" max="7206" width="5" style="254" hidden="1" customWidth="1"/>
    <col min="7207" max="7207" width="6.5703125" style="254" hidden="1" customWidth="1"/>
    <col min="7208" max="7208" width="3.85546875" style="254" hidden="1" customWidth="1"/>
    <col min="7209" max="7210" width="7.140625" style="254" hidden="1" customWidth="1"/>
    <col min="7211" max="7211" width="1.140625" style="254" hidden="1" customWidth="1"/>
    <col min="7212" max="7427" width="0" style="254" hidden="1" customWidth="1"/>
    <col min="7428" max="7428" width="3.7109375" style="254" hidden="1" customWidth="1"/>
    <col min="7429" max="7429" width="9.7109375" style="254" hidden="1" customWidth="1"/>
    <col min="7430" max="7430" width="7" style="254" hidden="1" customWidth="1"/>
    <col min="7431" max="7432" width="3.7109375" style="254" hidden="1" customWidth="1"/>
    <col min="7433" max="7433" width="4.5703125" style="254" hidden="1" customWidth="1"/>
    <col min="7434" max="7434" width="5" style="254" hidden="1" customWidth="1"/>
    <col min="7435" max="7435" width="4.140625" style="254" hidden="1" customWidth="1"/>
    <col min="7436" max="7436" width="4.85546875" style="254" hidden="1" customWidth="1"/>
    <col min="7437" max="7438" width="6" style="254" hidden="1" customWidth="1"/>
    <col min="7439" max="7439" width="4.7109375" style="254" hidden="1" customWidth="1"/>
    <col min="7440" max="7440" width="7.85546875" style="254" hidden="1" customWidth="1"/>
    <col min="7441" max="7441" width="4" style="254" hidden="1" customWidth="1"/>
    <col min="7442" max="7442" width="6.5703125" style="254" hidden="1" customWidth="1"/>
    <col min="7443" max="7443" width="5.85546875" style="254" hidden="1" customWidth="1"/>
    <col min="7444" max="7444" width="6.5703125" style="254" hidden="1" customWidth="1"/>
    <col min="7445" max="7445" width="7.85546875" style="254" hidden="1" customWidth="1"/>
    <col min="7446" max="7448" width="4.28515625" style="254" hidden="1" customWidth="1"/>
    <col min="7449" max="7449" width="4.7109375" style="254" hidden="1" customWidth="1"/>
    <col min="7450" max="7450" width="4" style="254" hidden="1" customWidth="1"/>
    <col min="7451" max="7451" width="4.7109375" style="254" hidden="1" customWidth="1"/>
    <col min="7452" max="7452" width="5.85546875" style="254" hidden="1" customWidth="1"/>
    <col min="7453" max="7453" width="4.5703125" style="254" hidden="1" customWidth="1"/>
    <col min="7454" max="7454" width="7.85546875" style="254" hidden="1" customWidth="1"/>
    <col min="7455" max="7455" width="3.85546875" style="254" hidden="1" customWidth="1"/>
    <col min="7456" max="7456" width="6.7109375" style="254" hidden="1" customWidth="1"/>
    <col min="7457" max="7457" width="4.42578125" style="254" hidden="1" customWidth="1"/>
    <col min="7458" max="7458" width="5.28515625" style="254" hidden="1" customWidth="1"/>
    <col min="7459" max="7459" width="4.7109375" style="254" hidden="1" customWidth="1"/>
    <col min="7460" max="7461" width="6.7109375" style="254" hidden="1" customWidth="1"/>
    <col min="7462" max="7462" width="5" style="254" hidden="1" customWidth="1"/>
    <col min="7463" max="7463" width="6.5703125" style="254" hidden="1" customWidth="1"/>
    <col min="7464" max="7464" width="3.85546875" style="254" hidden="1" customWidth="1"/>
    <col min="7465" max="7466" width="7.140625" style="254" hidden="1" customWidth="1"/>
    <col min="7467" max="7467" width="1.140625" style="254" hidden="1" customWidth="1"/>
    <col min="7468" max="7683" width="0" style="254" hidden="1" customWidth="1"/>
    <col min="7684" max="7684" width="3.7109375" style="254" hidden="1" customWidth="1"/>
    <col min="7685" max="7685" width="9.7109375" style="254" hidden="1" customWidth="1"/>
    <col min="7686" max="7686" width="7" style="254" hidden="1" customWidth="1"/>
    <col min="7687" max="7688" width="3.7109375" style="254" hidden="1" customWidth="1"/>
    <col min="7689" max="7689" width="4.5703125" style="254" hidden="1" customWidth="1"/>
    <col min="7690" max="7690" width="5" style="254" hidden="1" customWidth="1"/>
    <col min="7691" max="7691" width="4.140625" style="254" hidden="1" customWidth="1"/>
    <col min="7692" max="7692" width="4.85546875" style="254" hidden="1" customWidth="1"/>
    <col min="7693" max="7694" width="6" style="254" hidden="1" customWidth="1"/>
    <col min="7695" max="7695" width="4.7109375" style="254" hidden="1" customWidth="1"/>
    <col min="7696" max="7696" width="7.85546875" style="254" hidden="1" customWidth="1"/>
    <col min="7697" max="7697" width="4" style="254" hidden="1" customWidth="1"/>
    <col min="7698" max="7698" width="6.5703125" style="254" hidden="1" customWidth="1"/>
    <col min="7699" max="7699" width="5.85546875" style="254" hidden="1" customWidth="1"/>
    <col min="7700" max="7700" width="6.5703125" style="254" hidden="1" customWidth="1"/>
    <col min="7701" max="7701" width="7.85546875" style="254" hidden="1" customWidth="1"/>
    <col min="7702" max="7704" width="4.28515625" style="254" hidden="1" customWidth="1"/>
    <col min="7705" max="7705" width="4.7109375" style="254" hidden="1" customWidth="1"/>
    <col min="7706" max="7706" width="4" style="254" hidden="1" customWidth="1"/>
    <col min="7707" max="7707" width="4.7109375" style="254" hidden="1" customWidth="1"/>
    <col min="7708" max="7708" width="5.85546875" style="254" hidden="1" customWidth="1"/>
    <col min="7709" max="7709" width="4.5703125" style="254" hidden="1" customWidth="1"/>
    <col min="7710" max="7710" width="7.85546875" style="254" hidden="1" customWidth="1"/>
    <col min="7711" max="7711" width="3.85546875" style="254" hidden="1" customWidth="1"/>
    <col min="7712" max="7712" width="6.7109375" style="254" hidden="1" customWidth="1"/>
    <col min="7713" max="7713" width="4.42578125" style="254" hidden="1" customWidth="1"/>
    <col min="7714" max="7714" width="5.28515625" style="254" hidden="1" customWidth="1"/>
    <col min="7715" max="7715" width="4.7109375" style="254" hidden="1" customWidth="1"/>
    <col min="7716" max="7717" width="6.7109375" style="254" hidden="1" customWidth="1"/>
    <col min="7718" max="7718" width="5" style="254" hidden="1" customWidth="1"/>
    <col min="7719" max="7719" width="6.5703125" style="254" hidden="1" customWidth="1"/>
    <col min="7720" max="7720" width="3.85546875" style="254" hidden="1" customWidth="1"/>
    <col min="7721" max="7722" width="7.140625" style="254" hidden="1" customWidth="1"/>
    <col min="7723" max="7723" width="1.140625" style="254" hidden="1" customWidth="1"/>
    <col min="7724" max="7939" width="0" style="254" hidden="1" customWidth="1"/>
    <col min="7940" max="7940" width="3.7109375" style="254" hidden="1" customWidth="1"/>
    <col min="7941" max="7941" width="9.7109375" style="254" hidden="1" customWidth="1"/>
    <col min="7942" max="7942" width="7" style="254" hidden="1" customWidth="1"/>
    <col min="7943" max="7944" width="3.7109375" style="254" hidden="1" customWidth="1"/>
    <col min="7945" max="7945" width="4.5703125" style="254" hidden="1" customWidth="1"/>
    <col min="7946" max="7946" width="5" style="254" hidden="1" customWidth="1"/>
    <col min="7947" max="7947" width="4.140625" style="254" hidden="1" customWidth="1"/>
    <col min="7948" max="7948" width="4.85546875" style="254" hidden="1" customWidth="1"/>
    <col min="7949" max="7950" width="6" style="254" hidden="1" customWidth="1"/>
    <col min="7951" max="7951" width="4.7109375" style="254" hidden="1" customWidth="1"/>
    <col min="7952" max="7952" width="7.85546875" style="254" hidden="1" customWidth="1"/>
    <col min="7953" max="7953" width="4" style="254" hidden="1" customWidth="1"/>
    <col min="7954" max="7954" width="6.5703125" style="254" hidden="1" customWidth="1"/>
    <col min="7955" max="7955" width="5.85546875" style="254" hidden="1" customWidth="1"/>
    <col min="7956" max="7956" width="6.5703125" style="254" hidden="1" customWidth="1"/>
    <col min="7957" max="7957" width="7.85546875" style="254" hidden="1" customWidth="1"/>
    <col min="7958" max="7960" width="4.28515625" style="254" hidden="1" customWidth="1"/>
    <col min="7961" max="7961" width="4.7109375" style="254" hidden="1" customWidth="1"/>
    <col min="7962" max="7962" width="4" style="254" hidden="1" customWidth="1"/>
    <col min="7963" max="7963" width="4.7109375" style="254" hidden="1" customWidth="1"/>
    <col min="7964" max="7964" width="5.85546875" style="254" hidden="1" customWidth="1"/>
    <col min="7965" max="7965" width="4.5703125" style="254" hidden="1" customWidth="1"/>
    <col min="7966" max="7966" width="7.85546875" style="254" hidden="1" customWidth="1"/>
    <col min="7967" max="7967" width="3.85546875" style="254" hidden="1" customWidth="1"/>
    <col min="7968" max="7968" width="6.7109375" style="254" hidden="1" customWidth="1"/>
    <col min="7969" max="7969" width="4.42578125" style="254" hidden="1" customWidth="1"/>
    <col min="7970" max="7970" width="5.28515625" style="254" hidden="1" customWidth="1"/>
    <col min="7971" max="7971" width="4.7109375" style="254" hidden="1" customWidth="1"/>
    <col min="7972" max="7973" width="6.7109375" style="254" hidden="1" customWidth="1"/>
    <col min="7974" max="7974" width="5" style="254" hidden="1" customWidth="1"/>
    <col min="7975" max="7975" width="6.5703125" style="254" hidden="1" customWidth="1"/>
    <col min="7976" max="7976" width="3.85546875" style="254" hidden="1" customWidth="1"/>
    <col min="7977" max="7978" width="7.140625" style="254" hidden="1" customWidth="1"/>
    <col min="7979" max="7979" width="1.140625" style="254" hidden="1" customWidth="1"/>
    <col min="7980" max="8195" width="0" style="254" hidden="1" customWidth="1"/>
    <col min="8196" max="8196" width="3.7109375" style="254" hidden="1" customWidth="1"/>
    <col min="8197" max="8197" width="9.7109375" style="254" hidden="1" customWidth="1"/>
    <col min="8198" max="8198" width="7" style="254" hidden="1" customWidth="1"/>
    <col min="8199" max="8200" width="3.7109375" style="254" hidden="1" customWidth="1"/>
    <col min="8201" max="8201" width="4.5703125" style="254" hidden="1" customWidth="1"/>
    <col min="8202" max="8202" width="5" style="254" hidden="1" customWidth="1"/>
    <col min="8203" max="8203" width="4.140625" style="254" hidden="1" customWidth="1"/>
    <col min="8204" max="8204" width="4.85546875" style="254" hidden="1" customWidth="1"/>
    <col min="8205" max="8206" width="6" style="254" hidden="1" customWidth="1"/>
    <col min="8207" max="8207" width="4.7109375" style="254" hidden="1" customWidth="1"/>
    <col min="8208" max="8208" width="7.85546875" style="254" hidden="1" customWidth="1"/>
    <col min="8209" max="8209" width="4" style="254" hidden="1" customWidth="1"/>
    <col min="8210" max="8210" width="6.5703125" style="254" hidden="1" customWidth="1"/>
    <col min="8211" max="8211" width="5.85546875" style="254" hidden="1" customWidth="1"/>
    <col min="8212" max="8212" width="6.5703125" style="254" hidden="1" customWidth="1"/>
    <col min="8213" max="8213" width="7.85546875" style="254" hidden="1" customWidth="1"/>
    <col min="8214" max="8216" width="4.28515625" style="254" hidden="1" customWidth="1"/>
    <col min="8217" max="8217" width="4.7109375" style="254" hidden="1" customWidth="1"/>
    <col min="8218" max="8218" width="4" style="254" hidden="1" customWidth="1"/>
    <col min="8219" max="8219" width="4.7109375" style="254" hidden="1" customWidth="1"/>
    <col min="8220" max="8220" width="5.85546875" style="254" hidden="1" customWidth="1"/>
    <col min="8221" max="8221" width="4.5703125" style="254" hidden="1" customWidth="1"/>
    <col min="8222" max="8222" width="7.85546875" style="254" hidden="1" customWidth="1"/>
    <col min="8223" max="8223" width="3.85546875" style="254" hidden="1" customWidth="1"/>
    <col min="8224" max="8224" width="6.7109375" style="254" hidden="1" customWidth="1"/>
    <col min="8225" max="8225" width="4.42578125" style="254" hidden="1" customWidth="1"/>
    <col min="8226" max="8226" width="5.28515625" style="254" hidden="1" customWidth="1"/>
    <col min="8227" max="8227" width="4.7109375" style="254" hidden="1" customWidth="1"/>
    <col min="8228" max="8229" width="6.7109375" style="254" hidden="1" customWidth="1"/>
    <col min="8230" max="8230" width="5" style="254" hidden="1" customWidth="1"/>
    <col min="8231" max="8231" width="6.5703125" style="254" hidden="1" customWidth="1"/>
    <col min="8232" max="8232" width="3.85546875" style="254" hidden="1" customWidth="1"/>
    <col min="8233" max="8234" width="7.140625" style="254" hidden="1" customWidth="1"/>
    <col min="8235" max="8235" width="1.140625" style="254" hidden="1" customWidth="1"/>
    <col min="8236" max="8451" width="0" style="254" hidden="1" customWidth="1"/>
    <col min="8452" max="8452" width="3.7109375" style="254" hidden="1" customWidth="1"/>
    <col min="8453" max="8453" width="9.7109375" style="254" hidden="1" customWidth="1"/>
    <col min="8454" max="8454" width="7" style="254" hidden="1" customWidth="1"/>
    <col min="8455" max="8456" width="3.7109375" style="254" hidden="1" customWidth="1"/>
    <col min="8457" max="8457" width="4.5703125" style="254" hidden="1" customWidth="1"/>
    <col min="8458" max="8458" width="5" style="254" hidden="1" customWidth="1"/>
    <col min="8459" max="8459" width="4.140625" style="254" hidden="1" customWidth="1"/>
    <col min="8460" max="8460" width="4.85546875" style="254" hidden="1" customWidth="1"/>
    <col min="8461" max="8462" width="6" style="254" hidden="1" customWidth="1"/>
    <col min="8463" max="8463" width="4.7109375" style="254" hidden="1" customWidth="1"/>
    <col min="8464" max="8464" width="7.85546875" style="254" hidden="1" customWidth="1"/>
    <col min="8465" max="8465" width="4" style="254" hidden="1" customWidth="1"/>
    <col min="8466" max="8466" width="6.5703125" style="254" hidden="1" customWidth="1"/>
    <col min="8467" max="8467" width="5.85546875" style="254" hidden="1" customWidth="1"/>
    <col min="8468" max="8468" width="6.5703125" style="254" hidden="1" customWidth="1"/>
    <col min="8469" max="8469" width="7.85546875" style="254" hidden="1" customWidth="1"/>
    <col min="8470" max="8472" width="4.28515625" style="254" hidden="1" customWidth="1"/>
    <col min="8473" max="8473" width="4.7109375" style="254" hidden="1" customWidth="1"/>
    <col min="8474" max="8474" width="4" style="254" hidden="1" customWidth="1"/>
    <col min="8475" max="8475" width="4.7109375" style="254" hidden="1" customWidth="1"/>
    <col min="8476" max="8476" width="5.85546875" style="254" hidden="1" customWidth="1"/>
    <col min="8477" max="8477" width="4.5703125" style="254" hidden="1" customWidth="1"/>
    <col min="8478" max="8478" width="7.85546875" style="254" hidden="1" customWidth="1"/>
    <col min="8479" max="8479" width="3.85546875" style="254" hidden="1" customWidth="1"/>
    <col min="8480" max="8480" width="6.7109375" style="254" hidden="1" customWidth="1"/>
    <col min="8481" max="8481" width="4.42578125" style="254" hidden="1" customWidth="1"/>
    <col min="8482" max="8482" width="5.28515625" style="254" hidden="1" customWidth="1"/>
    <col min="8483" max="8483" width="4.7109375" style="254" hidden="1" customWidth="1"/>
    <col min="8484" max="8485" width="6.7109375" style="254" hidden="1" customWidth="1"/>
    <col min="8486" max="8486" width="5" style="254" hidden="1" customWidth="1"/>
    <col min="8487" max="8487" width="6.5703125" style="254" hidden="1" customWidth="1"/>
    <col min="8488" max="8488" width="3.85546875" style="254" hidden="1" customWidth="1"/>
    <col min="8489" max="8490" width="7.140625" style="254" hidden="1" customWidth="1"/>
    <col min="8491" max="8491" width="1.140625" style="254" hidden="1" customWidth="1"/>
    <col min="8492" max="8707" width="0" style="254" hidden="1" customWidth="1"/>
    <col min="8708" max="8708" width="3.7109375" style="254" hidden="1" customWidth="1"/>
    <col min="8709" max="8709" width="9.7109375" style="254" hidden="1" customWidth="1"/>
    <col min="8710" max="8710" width="7" style="254" hidden="1" customWidth="1"/>
    <col min="8711" max="8712" width="3.7109375" style="254" hidden="1" customWidth="1"/>
    <col min="8713" max="8713" width="4.5703125" style="254" hidden="1" customWidth="1"/>
    <col min="8714" max="8714" width="5" style="254" hidden="1" customWidth="1"/>
    <col min="8715" max="8715" width="4.140625" style="254" hidden="1" customWidth="1"/>
    <col min="8716" max="8716" width="4.85546875" style="254" hidden="1" customWidth="1"/>
    <col min="8717" max="8718" width="6" style="254" hidden="1" customWidth="1"/>
    <col min="8719" max="8719" width="4.7109375" style="254" hidden="1" customWidth="1"/>
    <col min="8720" max="8720" width="7.85546875" style="254" hidden="1" customWidth="1"/>
    <col min="8721" max="8721" width="4" style="254" hidden="1" customWidth="1"/>
    <col min="8722" max="8722" width="6.5703125" style="254" hidden="1" customWidth="1"/>
    <col min="8723" max="8723" width="5.85546875" style="254" hidden="1" customWidth="1"/>
    <col min="8724" max="8724" width="6.5703125" style="254" hidden="1" customWidth="1"/>
    <col min="8725" max="8725" width="7.85546875" style="254" hidden="1" customWidth="1"/>
    <col min="8726" max="8728" width="4.28515625" style="254" hidden="1" customWidth="1"/>
    <col min="8729" max="8729" width="4.7109375" style="254" hidden="1" customWidth="1"/>
    <col min="8730" max="8730" width="4" style="254" hidden="1" customWidth="1"/>
    <col min="8731" max="8731" width="4.7109375" style="254" hidden="1" customWidth="1"/>
    <col min="8732" max="8732" width="5.85546875" style="254" hidden="1" customWidth="1"/>
    <col min="8733" max="8733" width="4.5703125" style="254" hidden="1" customWidth="1"/>
    <col min="8734" max="8734" width="7.85546875" style="254" hidden="1" customWidth="1"/>
    <col min="8735" max="8735" width="3.85546875" style="254" hidden="1" customWidth="1"/>
    <col min="8736" max="8736" width="6.7109375" style="254" hidden="1" customWidth="1"/>
    <col min="8737" max="8737" width="4.42578125" style="254" hidden="1" customWidth="1"/>
    <col min="8738" max="8738" width="5.28515625" style="254" hidden="1" customWidth="1"/>
    <col min="8739" max="8739" width="4.7109375" style="254" hidden="1" customWidth="1"/>
    <col min="8740" max="8741" width="6.7109375" style="254" hidden="1" customWidth="1"/>
    <col min="8742" max="8742" width="5" style="254" hidden="1" customWidth="1"/>
    <col min="8743" max="8743" width="6.5703125" style="254" hidden="1" customWidth="1"/>
    <col min="8744" max="8744" width="3.85546875" style="254" hidden="1" customWidth="1"/>
    <col min="8745" max="8746" width="7.140625" style="254" hidden="1" customWidth="1"/>
    <col min="8747" max="8747" width="1.140625" style="254" hidden="1" customWidth="1"/>
    <col min="8748" max="8963" width="0" style="254" hidden="1" customWidth="1"/>
    <col min="8964" max="8964" width="3.7109375" style="254" hidden="1" customWidth="1"/>
    <col min="8965" max="8965" width="9.7109375" style="254" hidden="1" customWidth="1"/>
    <col min="8966" max="8966" width="7" style="254" hidden="1" customWidth="1"/>
    <col min="8967" max="8968" width="3.7109375" style="254" hidden="1" customWidth="1"/>
    <col min="8969" max="8969" width="4.5703125" style="254" hidden="1" customWidth="1"/>
    <col min="8970" max="8970" width="5" style="254" hidden="1" customWidth="1"/>
    <col min="8971" max="8971" width="4.140625" style="254" hidden="1" customWidth="1"/>
    <col min="8972" max="8972" width="4.85546875" style="254" hidden="1" customWidth="1"/>
    <col min="8973" max="8974" width="6" style="254" hidden="1" customWidth="1"/>
    <col min="8975" max="8975" width="4.7109375" style="254" hidden="1" customWidth="1"/>
    <col min="8976" max="8976" width="7.85546875" style="254" hidden="1" customWidth="1"/>
    <col min="8977" max="8977" width="4" style="254" hidden="1" customWidth="1"/>
    <col min="8978" max="8978" width="6.5703125" style="254" hidden="1" customWidth="1"/>
    <col min="8979" max="8979" width="5.85546875" style="254" hidden="1" customWidth="1"/>
    <col min="8980" max="8980" width="6.5703125" style="254" hidden="1" customWidth="1"/>
    <col min="8981" max="8981" width="7.85546875" style="254" hidden="1" customWidth="1"/>
    <col min="8982" max="8984" width="4.28515625" style="254" hidden="1" customWidth="1"/>
    <col min="8985" max="8985" width="4.7109375" style="254" hidden="1" customWidth="1"/>
    <col min="8986" max="8986" width="4" style="254" hidden="1" customWidth="1"/>
    <col min="8987" max="8987" width="4.7109375" style="254" hidden="1" customWidth="1"/>
    <col min="8988" max="8988" width="5.85546875" style="254" hidden="1" customWidth="1"/>
    <col min="8989" max="8989" width="4.5703125" style="254" hidden="1" customWidth="1"/>
    <col min="8990" max="8990" width="7.85546875" style="254" hidden="1" customWidth="1"/>
    <col min="8991" max="8991" width="3.85546875" style="254" hidden="1" customWidth="1"/>
    <col min="8992" max="8992" width="6.7109375" style="254" hidden="1" customWidth="1"/>
    <col min="8993" max="8993" width="4.42578125" style="254" hidden="1" customWidth="1"/>
    <col min="8994" max="8994" width="5.28515625" style="254" hidden="1" customWidth="1"/>
    <col min="8995" max="8995" width="4.7109375" style="254" hidden="1" customWidth="1"/>
    <col min="8996" max="8997" width="6.7109375" style="254" hidden="1" customWidth="1"/>
    <col min="8998" max="8998" width="5" style="254" hidden="1" customWidth="1"/>
    <col min="8999" max="8999" width="6.5703125" style="254" hidden="1" customWidth="1"/>
    <col min="9000" max="9000" width="3.85546875" style="254" hidden="1" customWidth="1"/>
    <col min="9001" max="9002" width="7.140625" style="254" hidden="1" customWidth="1"/>
    <col min="9003" max="9003" width="1.140625" style="254" hidden="1" customWidth="1"/>
    <col min="9004" max="9219" width="0" style="254" hidden="1" customWidth="1"/>
    <col min="9220" max="9220" width="3.7109375" style="254" hidden="1" customWidth="1"/>
    <col min="9221" max="9221" width="9.7109375" style="254" hidden="1" customWidth="1"/>
    <col min="9222" max="9222" width="7" style="254" hidden="1" customWidth="1"/>
    <col min="9223" max="9224" width="3.7109375" style="254" hidden="1" customWidth="1"/>
    <col min="9225" max="9225" width="4.5703125" style="254" hidden="1" customWidth="1"/>
    <col min="9226" max="9226" width="5" style="254" hidden="1" customWidth="1"/>
    <col min="9227" max="9227" width="4.140625" style="254" hidden="1" customWidth="1"/>
    <col min="9228" max="9228" width="4.85546875" style="254" hidden="1" customWidth="1"/>
    <col min="9229" max="9230" width="6" style="254" hidden="1" customWidth="1"/>
    <col min="9231" max="9231" width="4.7109375" style="254" hidden="1" customWidth="1"/>
    <col min="9232" max="9232" width="7.85546875" style="254" hidden="1" customWidth="1"/>
    <col min="9233" max="9233" width="4" style="254" hidden="1" customWidth="1"/>
    <col min="9234" max="9234" width="6.5703125" style="254" hidden="1" customWidth="1"/>
    <col min="9235" max="9235" width="5.85546875" style="254" hidden="1" customWidth="1"/>
    <col min="9236" max="9236" width="6.5703125" style="254" hidden="1" customWidth="1"/>
    <col min="9237" max="9237" width="7.85546875" style="254" hidden="1" customWidth="1"/>
    <col min="9238" max="9240" width="4.28515625" style="254" hidden="1" customWidth="1"/>
    <col min="9241" max="9241" width="4.7109375" style="254" hidden="1" customWidth="1"/>
    <col min="9242" max="9242" width="4" style="254" hidden="1" customWidth="1"/>
    <col min="9243" max="9243" width="4.7109375" style="254" hidden="1" customWidth="1"/>
    <col min="9244" max="9244" width="5.85546875" style="254" hidden="1" customWidth="1"/>
    <col min="9245" max="9245" width="4.5703125" style="254" hidden="1" customWidth="1"/>
    <col min="9246" max="9246" width="7.85546875" style="254" hidden="1" customWidth="1"/>
    <col min="9247" max="9247" width="3.85546875" style="254" hidden="1" customWidth="1"/>
    <col min="9248" max="9248" width="6.7109375" style="254" hidden="1" customWidth="1"/>
    <col min="9249" max="9249" width="4.42578125" style="254" hidden="1" customWidth="1"/>
    <col min="9250" max="9250" width="5.28515625" style="254" hidden="1" customWidth="1"/>
    <col min="9251" max="9251" width="4.7109375" style="254" hidden="1" customWidth="1"/>
    <col min="9252" max="9253" width="6.7109375" style="254" hidden="1" customWidth="1"/>
    <col min="9254" max="9254" width="5" style="254" hidden="1" customWidth="1"/>
    <col min="9255" max="9255" width="6.5703125" style="254" hidden="1" customWidth="1"/>
    <col min="9256" max="9256" width="3.85546875" style="254" hidden="1" customWidth="1"/>
    <col min="9257" max="9258" width="7.140625" style="254" hidden="1" customWidth="1"/>
    <col min="9259" max="9259" width="1.140625" style="254" hidden="1" customWidth="1"/>
    <col min="9260" max="9475" width="0" style="254" hidden="1" customWidth="1"/>
    <col min="9476" max="9476" width="3.7109375" style="254" hidden="1" customWidth="1"/>
    <col min="9477" max="9477" width="9.7109375" style="254" hidden="1" customWidth="1"/>
    <col min="9478" max="9478" width="7" style="254" hidden="1" customWidth="1"/>
    <col min="9479" max="9480" width="3.7109375" style="254" hidden="1" customWidth="1"/>
    <col min="9481" max="9481" width="4.5703125" style="254" hidden="1" customWidth="1"/>
    <col min="9482" max="9482" width="5" style="254" hidden="1" customWidth="1"/>
    <col min="9483" max="9483" width="4.140625" style="254" hidden="1" customWidth="1"/>
    <col min="9484" max="9484" width="4.85546875" style="254" hidden="1" customWidth="1"/>
    <col min="9485" max="9486" width="6" style="254" hidden="1" customWidth="1"/>
    <col min="9487" max="9487" width="4.7109375" style="254" hidden="1" customWidth="1"/>
    <col min="9488" max="9488" width="7.85546875" style="254" hidden="1" customWidth="1"/>
    <col min="9489" max="9489" width="4" style="254" hidden="1" customWidth="1"/>
    <col min="9490" max="9490" width="6.5703125" style="254" hidden="1" customWidth="1"/>
    <col min="9491" max="9491" width="5.85546875" style="254" hidden="1" customWidth="1"/>
    <col min="9492" max="9492" width="6.5703125" style="254" hidden="1" customWidth="1"/>
    <col min="9493" max="9493" width="7.85546875" style="254" hidden="1" customWidth="1"/>
    <col min="9494" max="9496" width="4.28515625" style="254" hidden="1" customWidth="1"/>
    <col min="9497" max="9497" width="4.7109375" style="254" hidden="1" customWidth="1"/>
    <col min="9498" max="9498" width="4" style="254" hidden="1" customWidth="1"/>
    <col min="9499" max="9499" width="4.7109375" style="254" hidden="1" customWidth="1"/>
    <col min="9500" max="9500" width="5.85546875" style="254" hidden="1" customWidth="1"/>
    <col min="9501" max="9501" width="4.5703125" style="254" hidden="1" customWidth="1"/>
    <col min="9502" max="9502" width="7.85546875" style="254" hidden="1" customWidth="1"/>
    <col min="9503" max="9503" width="3.85546875" style="254" hidden="1" customWidth="1"/>
    <col min="9504" max="9504" width="6.7109375" style="254" hidden="1" customWidth="1"/>
    <col min="9505" max="9505" width="4.42578125" style="254" hidden="1" customWidth="1"/>
    <col min="9506" max="9506" width="5.28515625" style="254" hidden="1" customWidth="1"/>
    <col min="9507" max="9507" width="4.7109375" style="254" hidden="1" customWidth="1"/>
    <col min="9508" max="9509" width="6.7109375" style="254" hidden="1" customWidth="1"/>
    <col min="9510" max="9510" width="5" style="254" hidden="1" customWidth="1"/>
    <col min="9511" max="9511" width="6.5703125" style="254" hidden="1" customWidth="1"/>
    <col min="9512" max="9512" width="3.85546875" style="254" hidden="1" customWidth="1"/>
    <col min="9513" max="9514" width="7.140625" style="254" hidden="1" customWidth="1"/>
    <col min="9515" max="9515" width="1.140625" style="254" hidden="1" customWidth="1"/>
    <col min="9516" max="9731" width="0" style="254" hidden="1" customWidth="1"/>
    <col min="9732" max="9732" width="3.7109375" style="254" hidden="1" customWidth="1"/>
    <col min="9733" max="9733" width="9.7109375" style="254" hidden="1" customWidth="1"/>
    <col min="9734" max="9734" width="7" style="254" hidden="1" customWidth="1"/>
    <col min="9735" max="9736" width="3.7109375" style="254" hidden="1" customWidth="1"/>
    <col min="9737" max="9737" width="4.5703125" style="254" hidden="1" customWidth="1"/>
    <col min="9738" max="9738" width="5" style="254" hidden="1" customWidth="1"/>
    <col min="9739" max="9739" width="4.140625" style="254" hidden="1" customWidth="1"/>
    <col min="9740" max="9740" width="4.85546875" style="254" hidden="1" customWidth="1"/>
    <col min="9741" max="9742" width="6" style="254" hidden="1" customWidth="1"/>
    <col min="9743" max="9743" width="4.7109375" style="254" hidden="1" customWidth="1"/>
    <col min="9744" max="9744" width="7.85546875" style="254" hidden="1" customWidth="1"/>
    <col min="9745" max="9745" width="4" style="254" hidden="1" customWidth="1"/>
    <col min="9746" max="9746" width="6.5703125" style="254" hidden="1" customWidth="1"/>
    <col min="9747" max="9747" width="5.85546875" style="254" hidden="1" customWidth="1"/>
    <col min="9748" max="9748" width="6.5703125" style="254" hidden="1" customWidth="1"/>
    <col min="9749" max="9749" width="7.85546875" style="254" hidden="1" customWidth="1"/>
    <col min="9750" max="9752" width="4.28515625" style="254" hidden="1" customWidth="1"/>
    <col min="9753" max="9753" width="4.7109375" style="254" hidden="1" customWidth="1"/>
    <col min="9754" max="9754" width="4" style="254" hidden="1" customWidth="1"/>
    <col min="9755" max="9755" width="4.7109375" style="254" hidden="1" customWidth="1"/>
    <col min="9756" max="9756" width="5.85546875" style="254" hidden="1" customWidth="1"/>
    <col min="9757" max="9757" width="4.5703125" style="254" hidden="1" customWidth="1"/>
    <col min="9758" max="9758" width="7.85546875" style="254" hidden="1" customWidth="1"/>
    <col min="9759" max="9759" width="3.85546875" style="254" hidden="1" customWidth="1"/>
    <col min="9760" max="9760" width="6.7109375" style="254" hidden="1" customWidth="1"/>
    <col min="9761" max="9761" width="4.42578125" style="254" hidden="1" customWidth="1"/>
    <col min="9762" max="9762" width="5.28515625" style="254" hidden="1" customWidth="1"/>
    <col min="9763" max="9763" width="4.7109375" style="254" hidden="1" customWidth="1"/>
    <col min="9764" max="9765" width="6.7109375" style="254" hidden="1" customWidth="1"/>
    <col min="9766" max="9766" width="5" style="254" hidden="1" customWidth="1"/>
    <col min="9767" max="9767" width="6.5703125" style="254" hidden="1" customWidth="1"/>
    <col min="9768" max="9768" width="3.85546875" style="254" hidden="1" customWidth="1"/>
    <col min="9769" max="9770" width="7.140625" style="254" hidden="1" customWidth="1"/>
    <col min="9771" max="9771" width="1.140625" style="254" hidden="1" customWidth="1"/>
    <col min="9772" max="9987" width="0" style="254" hidden="1" customWidth="1"/>
    <col min="9988" max="9988" width="3.7109375" style="254" hidden="1" customWidth="1"/>
    <col min="9989" max="9989" width="9.7109375" style="254" hidden="1" customWidth="1"/>
    <col min="9990" max="9990" width="7" style="254" hidden="1" customWidth="1"/>
    <col min="9991" max="9992" width="3.7109375" style="254" hidden="1" customWidth="1"/>
    <col min="9993" max="9993" width="4.5703125" style="254" hidden="1" customWidth="1"/>
    <col min="9994" max="9994" width="5" style="254" hidden="1" customWidth="1"/>
    <col min="9995" max="9995" width="4.140625" style="254" hidden="1" customWidth="1"/>
    <col min="9996" max="9996" width="4.85546875" style="254" hidden="1" customWidth="1"/>
    <col min="9997" max="9998" width="6" style="254" hidden="1" customWidth="1"/>
    <col min="9999" max="9999" width="4.7109375" style="254" hidden="1" customWidth="1"/>
    <col min="10000" max="10000" width="7.85546875" style="254" hidden="1" customWidth="1"/>
    <col min="10001" max="10001" width="4" style="254" hidden="1" customWidth="1"/>
    <col min="10002" max="10002" width="6.5703125" style="254" hidden="1" customWidth="1"/>
    <col min="10003" max="10003" width="5.85546875" style="254" hidden="1" customWidth="1"/>
    <col min="10004" max="10004" width="6.5703125" style="254" hidden="1" customWidth="1"/>
    <col min="10005" max="10005" width="7.85546875" style="254" hidden="1" customWidth="1"/>
    <col min="10006" max="10008" width="4.28515625" style="254" hidden="1" customWidth="1"/>
    <col min="10009" max="10009" width="4.7109375" style="254" hidden="1" customWidth="1"/>
    <col min="10010" max="10010" width="4" style="254" hidden="1" customWidth="1"/>
    <col min="10011" max="10011" width="4.7109375" style="254" hidden="1" customWidth="1"/>
    <col min="10012" max="10012" width="5.85546875" style="254" hidden="1" customWidth="1"/>
    <col min="10013" max="10013" width="4.5703125" style="254" hidden="1" customWidth="1"/>
    <col min="10014" max="10014" width="7.85546875" style="254" hidden="1" customWidth="1"/>
    <col min="10015" max="10015" width="3.85546875" style="254" hidden="1" customWidth="1"/>
    <col min="10016" max="10016" width="6.7109375" style="254" hidden="1" customWidth="1"/>
    <col min="10017" max="10017" width="4.42578125" style="254" hidden="1" customWidth="1"/>
    <col min="10018" max="10018" width="5.28515625" style="254" hidden="1" customWidth="1"/>
    <col min="10019" max="10019" width="4.7109375" style="254" hidden="1" customWidth="1"/>
    <col min="10020" max="10021" width="6.7109375" style="254" hidden="1" customWidth="1"/>
    <col min="10022" max="10022" width="5" style="254" hidden="1" customWidth="1"/>
    <col min="10023" max="10023" width="6.5703125" style="254" hidden="1" customWidth="1"/>
    <col min="10024" max="10024" width="3.85546875" style="254" hidden="1" customWidth="1"/>
    <col min="10025" max="10026" width="7.140625" style="254" hidden="1" customWidth="1"/>
    <col min="10027" max="10027" width="1.140625" style="254" hidden="1" customWidth="1"/>
    <col min="10028" max="10243" width="0" style="254" hidden="1" customWidth="1"/>
    <col min="10244" max="10244" width="3.7109375" style="254" hidden="1" customWidth="1"/>
    <col min="10245" max="10245" width="9.7109375" style="254" hidden="1" customWidth="1"/>
    <col min="10246" max="10246" width="7" style="254" hidden="1" customWidth="1"/>
    <col min="10247" max="10248" width="3.7109375" style="254" hidden="1" customWidth="1"/>
    <col min="10249" max="10249" width="4.5703125" style="254" hidden="1" customWidth="1"/>
    <col min="10250" max="10250" width="5" style="254" hidden="1" customWidth="1"/>
    <col min="10251" max="10251" width="4.140625" style="254" hidden="1" customWidth="1"/>
    <col min="10252" max="10252" width="4.85546875" style="254" hidden="1" customWidth="1"/>
    <col min="10253" max="10254" width="6" style="254" hidden="1" customWidth="1"/>
    <col min="10255" max="10255" width="4.7109375" style="254" hidden="1" customWidth="1"/>
    <col min="10256" max="10256" width="7.85546875" style="254" hidden="1" customWidth="1"/>
    <col min="10257" max="10257" width="4" style="254" hidden="1" customWidth="1"/>
    <col min="10258" max="10258" width="6.5703125" style="254" hidden="1" customWidth="1"/>
    <col min="10259" max="10259" width="5.85546875" style="254" hidden="1" customWidth="1"/>
    <col min="10260" max="10260" width="6.5703125" style="254" hidden="1" customWidth="1"/>
    <col min="10261" max="10261" width="7.85546875" style="254" hidden="1" customWidth="1"/>
    <col min="10262" max="10264" width="4.28515625" style="254" hidden="1" customWidth="1"/>
    <col min="10265" max="10265" width="4.7109375" style="254" hidden="1" customWidth="1"/>
    <col min="10266" max="10266" width="4" style="254" hidden="1" customWidth="1"/>
    <col min="10267" max="10267" width="4.7109375" style="254" hidden="1" customWidth="1"/>
    <col min="10268" max="10268" width="5.85546875" style="254" hidden="1" customWidth="1"/>
    <col min="10269" max="10269" width="4.5703125" style="254" hidden="1" customWidth="1"/>
    <col min="10270" max="10270" width="7.85546875" style="254" hidden="1" customWidth="1"/>
    <col min="10271" max="10271" width="3.85546875" style="254" hidden="1" customWidth="1"/>
    <col min="10272" max="10272" width="6.7109375" style="254" hidden="1" customWidth="1"/>
    <col min="10273" max="10273" width="4.42578125" style="254" hidden="1" customWidth="1"/>
    <col min="10274" max="10274" width="5.28515625" style="254" hidden="1" customWidth="1"/>
    <col min="10275" max="10275" width="4.7109375" style="254" hidden="1" customWidth="1"/>
    <col min="10276" max="10277" width="6.7109375" style="254" hidden="1" customWidth="1"/>
    <col min="10278" max="10278" width="5" style="254" hidden="1" customWidth="1"/>
    <col min="10279" max="10279" width="6.5703125" style="254" hidden="1" customWidth="1"/>
    <col min="10280" max="10280" width="3.85546875" style="254" hidden="1" customWidth="1"/>
    <col min="10281" max="10282" width="7.140625" style="254" hidden="1" customWidth="1"/>
    <col min="10283" max="10283" width="1.140625" style="254" hidden="1" customWidth="1"/>
    <col min="10284" max="10499" width="0" style="254" hidden="1" customWidth="1"/>
    <col min="10500" max="10500" width="3.7109375" style="254" hidden="1" customWidth="1"/>
    <col min="10501" max="10501" width="9.7109375" style="254" hidden="1" customWidth="1"/>
    <col min="10502" max="10502" width="7" style="254" hidden="1" customWidth="1"/>
    <col min="10503" max="10504" width="3.7109375" style="254" hidden="1" customWidth="1"/>
    <col min="10505" max="10505" width="4.5703125" style="254" hidden="1" customWidth="1"/>
    <col min="10506" max="10506" width="5" style="254" hidden="1" customWidth="1"/>
    <col min="10507" max="10507" width="4.140625" style="254" hidden="1" customWidth="1"/>
    <col min="10508" max="10508" width="4.85546875" style="254" hidden="1" customWidth="1"/>
    <col min="10509" max="10510" width="6" style="254" hidden="1" customWidth="1"/>
    <col min="10511" max="10511" width="4.7109375" style="254" hidden="1" customWidth="1"/>
    <col min="10512" max="10512" width="7.85546875" style="254" hidden="1" customWidth="1"/>
    <col min="10513" max="10513" width="4" style="254" hidden="1" customWidth="1"/>
    <col min="10514" max="10514" width="6.5703125" style="254" hidden="1" customWidth="1"/>
    <col min="10515" max="10515" width="5.85546875" style="254" hidden="1" customWidth="1"/>
    <col min="10516" max="10516" width="6.5703125" style="254" hidden="1" customWidth="1"/>
    <col min="10517" max="10517" width="7.85546875" style="254" hidden="1" customWidth="1"/>
    <col min="10518" max="10520" width="4.28515625" style="254" hidden="1" customWidth="1"/>
    <col min="10521" max="10521" width="4.7109375" style="254" hidden="1" customWidth="1"/>
    <col min="10522" max="10522" width="4" style="254" hidden="1" customWidth="1"/>
    <col min="10523" max="10523" width="4.7109375" style="254" hidden="1" customWidth="1"/>
    <col min="10524" max="10524" width="5.85546875" style="254" hidden="1" customWidth="1"/>
    <col min="10525" max="10525" width="4.5703125" style="254" hidden="1" customWidth="1"/>
    <col min="10526" max="10526" width="7.85546875" style="254" hidden="1" customWidth="1"/>
    <col min="10527" max="10527" width="3.85546875" style="254" hidden="1" customWidth="1"/>
    <col min="10528" max="10528" width="6.7109375" style="254" hidden="1" customWidth="1"/>
    <col min="10529" max="10529" width="4.42578125" style="254" hidden="1" customWidth="1"/>
    <col min="10530" max="10530" width="5.28515625" style="254" hidden="1" customWidth="1"/>
    <col min="10531" max="10531" width="4.7109375" style="254" hidden="1" customWidth="1"/>
    <col min="10532" max="10533" width="6.7109375" style="254" hidden="1" customWidth="1"/>
    <col min="10534" max="10534" width="5" style="254" hidden="1" customWidth="1"/>
    <col min="10535" max="10535" width="6.5703125" style="254" hidden="1" customWidth="1"/>
    <col min="10536" max="10536" width="3.85546875" style="254" hidden="1" customWidth="1"/>
    <col min="10537" max="10538" width="7.140625" style="254" hidden="1" customWidth="1"/>
    <col min="10539" max="10539" width="1.140625" style="254" hidden="1" customWidth="1"/>
    <col min="10540" max="10755" width="0" style="254" hidden="1" customWidth="1"/>
    <col min="10756" max="10756" width="3.7109375" style="254" hidden="1" customWidth="1"/>
    <col min="10757" max="10757" width="9.7109375" style="254" hidden="1" customWidth="1"/>
    <col min="10758" max="10758" width="7" style="254" hidden="1" customWidth="1"/>
    <col min="10759" max="10760" width="3.7109375" style="254" hidden="1" customWidth="1"/>
    <col min="10761" max="10761" width="4.5703125" style="254" hidden="1" customWidth="1"/>
    <col min="10762" max="10762" width="5" style="254" hidden="1" customWidth="1"/>
    <col min="10763" max="10763" width="4.140625" style="254" hidden="1" customWidth="1"/>
    <col min="10764" max="10764" width="4.85546875" style="254" hidden="1" customWidth="1"/>
    <col min="10765" max="10766" width="6" style="254" hidden="1" customWidth="1"/>
    <col min="10767" max="10767" width="4.7109375" style="254" hidden="1" customWidth="1"/>
    <col min="10768" max="10768" width="7.85546875" style="254" hidden="1" customWidth="1"/>
    <col min="10769" max="10769" width="4" style="254" hidden="1" customWidth="1"/>
    <col min="10770" max="10770" width="6.5703125" style="254" hidden="1" customWidth="1"/>
    <col min="10771" max="10771" width="5.85546875" style="254" hidden="1" customWidth="1"/>
    <col min="10772" max="10772" width="6.5703125" style="254" hidden="1" customWidth="1"/>
    <col min="10773" max="10773" width="7.85546875" style="254" hidden="1" customWidth="1"/>
    <col min="10774" max="10776" width="4.28515625" style="254" hidden="1" customWidth="1"/>
    <col min="10777" max="10777" width="4.7109375" style="254" hidden="1" customWidth="1"/>
    <col min="10778" max="10778" width="4" style="254" hidden="1" customWidth="1"/>
    <col min="10779" max="10779" width="4.7109375" style="254" hidden="1" customWidth="1"/>
    <col min="10780" max="10780" width="5.85546875" style="254" hidden="1" customWidth="1"/>
    <col min="10781" max="10781" width="4.5703125" style="254" hidden="1" customWidth="1"/>
    <col min="10782" max="10782" width="7.85546875" style="254" hidden="1" customWidth="1"/>
    <col min="10783" max="10783" width="3.85546875" style="254" hidden="1" customWidth="1"/>
    <col min="10784" max="10784" width="6.7109375" style="254" hidden="1" customWidth="1"/>
    <col min="10785" max="10785" width="4.42578125" style="254" hidden="1" customWidth="1"/>
    <col min="10786" max="10786" width="5.28515625" style="254" hidden="1" customWidth="1"/>
    <col min="10787" max="10787" width="4.7109375" style="254" hidden="1" customWidth="1"/>
    <col min="10788" max="10789" width="6.7109375" style="254" hidden="1" customWidth="1"/>
    <col min="10790" max="10790" width="5" style="254" hidden="1" customWidth="1"/>
    <col min="10791" max="10791" width="6.5703125" style="254" hidden="1" customWidth="1"/>
    <col min="10792" max="10792" width="3.85546875" style="254" hidden="1" customWidth="1"/>
    <col min="10793" max="10794" width="7.140625" style="254" hidden="1" customWidth="1"/>
    <col min="10795" max="10795" width="1.140625" style="254" hidden="1" customWidth="1"/>
    <col min="10796" max="11011" width="0" style="254" hidden="1" customWidth="1"/>
    <col min="11012" max="11012" width="3.7109375" style="254" hidden="1" customWidth="1"/>
    <col min="11013" max="11013" width="9.7109375" style="254" hidden="1" customWidth="1"/>
    <col min="11014" max="11014" width="7" style="254" hidden="1" customWidth="1"/>
    <col min="11015" max="11016" width="3.7109375" style="254" hidden="1" customWidth="1"/>
    <col min="11017" max="11017" width="4.5703125" style="254" hidden="1" customWidth="1"/>
    <col min="11018" max="11018" width="5" style="254" hidden="1" customWidth="1"/>
    <col min="11019" max="11019" width="4.140625" style="254" hidden="1" customWidth="1"/>
    <col min="11020" max="11020" width="4.85546875" style="254" hidden="1" customWidth="1"/>
    <col min="11021" max="11022" width="6" style="254" hidden="1" customWidth="1"/>
    <col min="11023" max="11023" width="4.7109375" style="254" hidden="1" customWidth="1"/>
    <col min="11024" max="11024" width="7.85546875" style="254" hidden="1" customWidth="1"/>
    <col min="11025" max="11025" width="4" style="254" hidden="1" customWidth="1"/>
    <col min="11026" max="11026" width="6.5703125" style="254" hidden="1" customWidth="1"/>
    <col min="11027" max="11027" width="5.85546875" style="254" hidden="1" customWidth="1"/>
    <col min="11028" max="11028" width="6.5703125" style="254" hidden="1" customWidth="1"/>
    <col min="11029" max="11029" width="7.85546875" style="254" hidden="1" customWidth="1"/>
    <col min="11030" max="11032" width="4.28515625" style="254" hidden="1" customWidth="1"/>
    <col min="11033" max="11033" width="4.7109375" style="254" hidden="1" customWidth="1"/>
    <col min="11034" max="11034" width="4" style="254" hidden="1" customWidth="1"/>
    <col min="11035" max="11035" width="4.7109375" style="254" hidden="1" customWidth="1"/>
    <col min="11036" max="11036" width="5.85546875" style="254" hidden="1" customWidth="1"/>
    <col min="11037" max="11037" width="4.5703125" style="254" hidden="1" customWidth="1"/>
    <col min="11038" max="11038" width="7.85546875" style="254" hidden="1" customWidth="1"/>
    <col min="11039" max="11039" width="3.85546875" style="254" hidden="1" customWidth="1"/>
    <col min="11040" max="11040" width="6.7109375" style="254" hidden="1" customWidth="1"/>
    <col min="11041" max="11041" width="4.42578125" style="254" hidden="1" customWidth="1"/>
    <col min="11042" max="11042" width="5.28515625" style="254" hidden="1" customWidth="1"/>
    <col min="11043" max="11043" width="4.7109375" style="254" hidden="1" customWidth="1"/>
    <col min="11044" max="11045" width="6.7109375" style="254" hidden="1" customWidth="1"/>
    <col min="11046" max="11046" width="5" style="254" hidden="1" customWidth="1"/>
    <col min="11047" max="11047" width="6.5703125" style="254" hidden="1" customWidth="1"/>
    <col min="11048" max="11048" width="3.85546875" style="254" hidden="1" customWidth="1"/>
    <col min="11049" max="11050" width="7.140625" style="254" hidden="1" customWidth="1"/>
    <col min="11051" max="11051" width="1.140625" style="254" hidden="1" customWidth="1"/>
    <col min="11052" max="11267" width="0" style="254" hidden="1" customWidth="1"/>
    <col min="11268" max="11268" width="3.7109375" style="254" hidden="1" customWidth="1"/>
    <col min="11269" max="11269" width="9.7109375" style="254" hidden="1" customWidth="1"/>
    <col min="11270" max="11270" width="7" style="254" hidden="1" customWidth="1"/>
    <col min="11271" max="11272" width="3.7109375" style="254" hidden="1" customWidth="1"/>
    <col min="11273" max="11273" width="4.5703125" style="254" hidden="1" customWidth="1"/>
    <col min="11274" max="11274" width="5" style="254" hidden="1" customWidth="1"/>
    <col min="11275" max="11275" width="4.140625" style="254" hidden="1" customWidth="1"/>
    <col min="11276" max="11276" width="4.85546875" style="254" hidden="1" customWidth="1"/>
    <col min="11277" max="11278" width="6" style="254" hidden="1" customWidth="1"/>
    <col min="11279" max="11279" width="4.7109375" style="254" hidden="1" customWidth="1"/>
    <col min="11280" max="11280" width="7.85546875" style="254" hidden="1" customWidth="1"/>
    <col min="11281" max="11281" width="4" style="254" hidden="1" customWidth="1"/>
    <col min="11282" max="11282" width="6.5703125" style="254" hidden="1" customWidth="1"/>
    <col min="11283" max="11283" width="5.85546875" style="254" hidden="1" customWidth="1"/>
    <col min="11284" max="11284" width="6.5703125" style="254" hidden="1" customWidth="1"/>
    <col min="11285" max="11285" width="7.85546875" style="254" hidden="1" customWidth="1"/>
    <col min="11286" max="11288" width="4.28515625" style="254" hidden="1" customWidth="1"/>
    <col min="11289" max="11289" width="4.7109375" style="254" hidden="1" customWidth="1"/>
    <col min="11290" max="11290" width="4" style="254" hidden="1" customWidth="1"/>
    <col min="11291" max="11291" width="4.7109375" style="254" hidden="1" customWidth="1"/>
    <col min="11292" max="11292" width="5.85546875" style="254" hidden="1" customWidth="1"/>
    <col min="11293" max="11293" width="4.5703125" style="254" hidden="1" customWidth="1"/>
    <col min="11294" max="11294" width="7.85546875" style="254" hidden="1" customWidth="1"/>
    <col min="11295" max="11295" width="3.85546875" style="254" hidden="1" customWidth="1"/>
    <col min="11296" max="11296" width="6.7109375" style="254" hidden="1" customWidth="1"/>
    <col min="11297" max="11297" width="4.42578125" style="254" hidden="1" customWidth="1"/>
    <col min="11298" max="11298" width="5.28515625" style="254" hidden="1" customWidth="1"/>
    <col min="11299" max="11299" width="4.7109375" style="254" hidden="1" customWidth="1"/>
    <col min="11300" max="11301" width="6.7109375" style="254" hidden="1" customWidth="1"/>
    <col min="11302" max="11302" width="5" style="254" hidden="1" customWidth="1"/>
    <col min="11303" max="11303" width="6.5703125" style="254" hidden="1" customWidth="1"/>
    <col min="11304" max="11304" width="3.85546875" style="254" hidden="1" customWidth="1"/>
    <col min="11305" max="11306" width="7.140625" style="254" hidden="1" customWidth="1"/>
    <col min="11307" max="11307" width="1.140625" style="254" hidden="1" customWidth="1"/>
    <col min="11308" max="11523" width="0" style="254" hidden="1" customWidth="1"/>
    <col min="11524" max="11524" width="3.7109375" style="254" hidden="1" customWidth="1"/>
    <col min="11525" max="11525" width="9.7109375" style="254" hidden="1" customWidth="1"/>
    <col min="11526" max="11526" width="7" style="254" hidden="1" customWidth="1"/>
    <col min="11527" max="11528" width="3.7109375" style="254" hidden="1" customWidth="1"/>
    <col min="11529" max="11529" width="4.5703125" style="254" hidden="1" customWidth="1"/>
    <col min="11530" max="11530" width="5" style="254" hidden="1" customWidth="1"/>
    <col min="11531" max="11531" width="4.140625" style="254" hidden="1" customWidth="1"/>
    <col min="11532" max="11532" width="4.85546875" style="254" hidden="1" customWidth="1"/>
    <col min="11533" max="11534" width="6" style="254" hidden="1" customWidth="1"/>
    <col min="11535" max="11535" width="4.7109375" style="254" hidden="1" customWidth="1"/>
    <col min="11536" max="11536" width="7.85546875" style="254" hidden="1" customWidth="1"/>
    <col min="11537" max="11537" width="4" style="254" hidden="1" customWidth="1"/>
    <col min="11538" max="11538" width="6.5703125" style="254" hidden="1" customWidth="1"/>
    <col min="11539" max="11539" width="5.85546875" style="254" hidden="1" customWidth="1"/>
    <col min="11540" max="11540" width="6.5703125" style="254" hidden="1" customWidth="1"/>
    <col min="11541" max="11541" width="7.85546875" style="254" hidden="1" customWidth="1"/>
    <col min="11542" max="11544" width="4.28515625" style="254" hidden="1" customWidth="1"/>
    <col min="11545" max="11545" width="4.7109375" style="254" hidden="1" customWidth="1"/>
    <col min="11546" max="11546" width="4" style="254" hidden="1" customWidth="1"/>
    <col min="11547" max="11547" width="4.7109375" style="254" hidden="1" customWidth="1"/>
    <col min="11548" max="11548" width="5.85546875" style="254" hidden="1" customWidth="1"/>
    <col min="11549" max="11549" width="4.5703125" style="254" hidden="1" customWidth="1"/>
    <col min="11550" max="11550" width="7.85546875" style="254" hidden="1" customWidth="1"/>
    <col min="11551" max="11551" width="3.85546875" style="254" hidden="1" customWidth="1"/>
    <col min="11552" max="11552" width="6.7109375" style="254" hidden="1" customWidth="1"/>
    <col min="11553" max="11553" width="4.42578125" style="254" hidden="1" customWidth="1"/>
    <col min="11554" max="11554" width="5.28515625" style="254" hidden="1" customWidth="1"/>
    <col min="11555" max="11555" width="4.7109375" style="254" hidden="1" customWidth="1"/>
    <col min="11556" max="11557" width="6.7109375" style="254" hidden="1" customWidth="1"/>
    <col min="11558" max="11558" width="5" style="254" hidden="1" customWidth="1"/>
    <col min="11559" max="11559" width="6.5703125" style="254" hidden="1" customWidth="1"/>
    <col min="11560" max="11560" width="3.85546875" style="254" hidden="1" customWidth="1"/>
    <col min="11561" max="11562" width="7.140625" style="254" hidden="1" customWidth="1"/>
    <col min="11563" max="11563" width="1.140625" style="254" hidden="1" customWidth="1"/>
    <col min="11564" max="11779" width="0" style="254" hidden="1" customWidth="1"/>
    <col min="11780" max="11780" width="3.7109375" style="254" hidden="1" customWidth="1"/>
    <col min="11781" max="11781" width="9.7109375" style="254" hidden="1" customWidth="1"/>
    <col min="11782" max="11782" width="7" style="254" hidden="1" customWidth="1"/>
    <col min="11783" max="11784" width="3.7109375" style="254" hidden="1" customWidth="1"/>
    <col min="11785" max="11785" width="4.5703125" style="254" hidden="1" customWidth="1"/>
    <col min="11786" max="11786" width="5" style="254" hidden="1" customWidth="1"/>
    <col min="11787" max="11787" width="4.140625" style="254" hidden="1" customWidth="1"/>
    <col min="11788" max="11788" width="4.85546875" style="254" hidden="1" customWidth="1"/>
    <col min="11789" max="11790" width="6" style="254" hidden="1" customWidth="1"/>
    <col min="11791" max="11791" width="4.7109375" style="254" hidden="1" customWidth="1"/>
    <col min="11792" max="11792" width="7.85546875" style="254" hidden="1" customWidth="1"/>
    <col min="11793" max="11793" width="4" style="254" hidden="1" customWidth="1"/>
    <col min="11794" max="11794" width="6.5703125" style="254" hidden="1" customWidth="1"/>
    <col min="11795" max="11795" width="5.85546875" style="254" hidden="1" customWidth="1"/>
    <col min="11796" max="11796" width="6.5703125" style="254" hidden="1" customWidth="1"/>
    <col min="11797" max="11797" width="7.85546875" style="254" hidden="1" customWidth="1"/>
    <col min="11798" max="11800" width="4.28515625" style="254" hidden="1" customWidth="1"/>
    <col min="11801" max="11801" width="4.7109375" style="254" hidden="1" customWidth="1"/>
    <col min="11802" max="11802" width="4" style="254" hidden="1" customWidth="1"/>
    <col min="11803" max="11803" width="4.7109375" style="254" hidden="1" customWidth="1"/>
    <col min="11804" max="11804" width="5.85546875" style="254" hidden="1" customWidth="1"/>
    <col min="11805" max="11805" width="4.5703125" style="254" hidden="1" customWidth="1"/>
    <col min="11806" max="11806" width="7.85546875" style="254" hidden="1" customWidth="1"/>
    <col min="11807" max="11807" width="3.85546875" style="254" hidden="1" customWidth="1"/>
    <col min="11808" max="11808" width="6.7109375" style="254" hidden="1" customWidth="1"/>
    <col min="11809" max="11809" width="4.42578125" style="254" hidden="1" customWidth="1"/>
    <col min="11810" max="11810" width="5.28515625" style="254" hidden="1" customWidth="1"/>
    <col min="11811" max="11811" width="4.7109375" style="254" hidden="1" customWidth="1"/>
    <col min="11812" max="11813" width="6.7109375" style="254" hidden="1" customWidth="1"/>
    <col min="11814" max="11814" width="5" style="254" hidden="1" customWidth="1"/>
    <col min="11815" max="11815" width="6.5703125" style="254" hidden="1" customWidth="1"/>
    <col min="11816" max="11816" width="3.85546875" style="254" hidden="1" customWidth="1"/>
    <col min="11817" max="11818" width="7.140625" style="254" hidden="1" customWidth="1"/>
    <col min="11819" max="11819" width="1.140625" style="254" hidden="1" customWidth="1"/>
    <col min="11820" max="12035" width="0" style="254" hidden="1" customWidth="1"/>
    <col min="12036" max="12036" width="3.7109375" style="254" hidden="1" customWidth="1"/>
    <col min="12037" max="12037" width="9.7109375" style="254" hidden="1" customWidth="1"/>
    <col min="12038" max="12038" width="7" style="254" hidden="1" customWidth="1"/>
    <col min="12039" max="12040" width="3.7109375" style="254" hidden="1" customWidth="1"/>
    <col min="12041" max="12041" width="4.5703125" style="254" hidden="1" customWidth="1"/>
    <col min="12042" max="12042" width="5" style="254" hidden="1" customWidth="1"/>
    <col min="12043" max="12043" width="4.140625" style="254" hidden="1" customWidth="1"/>
    <col min="12044" max="12044" width="4.85546875" style="254" hidden="1" customWidth="1"/>
    <col min="12045" max="12046" width="6" style="254" hidden="1" customWidth="1"/>
    <col min="12047" max="12047" width="4.7109375" style="254" hidden="1" customWidth="1"/>
    <col min="12048" max="12048" width="7.85546875" style="254" hidden="1" customWidth="1"/>
    <col min="12049" max="12049" width="4" style="254" hidden="1" customWidth="1"/>
    <col min="12050" max="12050" width="6.5703125" style="254" hidden="1" customWidth="1"/>
    <col min="12051" max="12051" width="5.85546875" style="254" hidden="1" customWidth="1"/>
    <col min="12052" max="12052" width="6.5703125" style="254" hidden="1" customWidth="1"/>
    <col min="12053" max="12053" width="7.85546875" style="254" hidden="1" customWidth="1"/>
    <col min="12054" max="12056" width="4.28515625" style="254" hidden="1" customWidth="1"/>
    <col min="12057" max="12057" width="4.7109375" style="254" hidden="1" customWidth="1"/>
    <col min="12058" max="12058" width="4" style="254" hidden="1" customWidth="1"/>
    <col min="12059" max="12059" width="4.7109375" style="254" hidden="1" customWidth="1"/>
    <col min="12060" max="12060" width="5.85546875" style="254" hidden="1" customWidth="1"/>
    <col min="12061" max="12061" width="4.5703125" style="254" hidden="1" customWidth="1"/>
    <col min="12062" max="12062" width="7.85546875" style="254" hidden="1" customWidth="1"/>
    <col min="12063" max="12063" width="3.85546875" style="254" hidden="1" customWidth="1"/>
    <col min="12064" max="12064" width="6.7109375" style="254" hidden="1" customWidth="1"/>
    <col min="12065" max="12065" width="4.42578125" style="254" hidden="1" customWidth="1"/>
    <col min="12066" max="12066" width="5.28515625" style="254" hidden="1" customWidth="1"/>
    <col min="12067" max="12067" width="4.7109375" style="254" hidden="1" customWidth="1"/>
    <col min="12068" max="12069" width="6.7109375" style="254" hidden="1" customWidth="1"/>
    <col min="12070" max="12070" width="5" style="254" hidden="1" customWidth="1"/>
    <col min="12071" max="12071" width="6.5703125" style="254" hidden="1" customWidth="1"/>
    <col min="12072" max="12072" width="3.85546875" style="254" hidden="1" customWidth="1"/>
    <col min="12073" max="12074" width="7.140625" style="254" hidden="1" customWidth="1"/>
    <col min="12075" max="12075" width="1.140625" style="254" hidden="1" customWidth="1"/>
    <col min="12076" max="12291" width="0" style="254" hidden="1" customWidth="1"/>
    <col min="12292" max="12292" width="3.7109375" style="254" hidden="1" customWidth="1"/>
    <col min="12293" max="12293" width="9.7109375" style="254" hidden="1" customWidth="1"/>
    <col min="12294" max="12294" width="7" style="254" hidden="1" customWidth="1"/>
    <col min="12295" max="12296" width="3.7109375" style="254" hidden="1" customWidth="1"/>
    <col min="12297" max="12297" width="4.5703125" style="254" hidden="1" customWidth="1"/>
    <col min="12298" max="12298" width="5" style="254" hidden="1" customWidth="1"/>
    <col min="12299" max="12299" width="4.140625" style="254" hidden="1" customWidth="1"/>
    <col min="12300" max="12300" width="4.85546875" style="254" hidden="1" customWidth="1"/>
    <col min="12301" max="12302" width="6" style="254" hidden="1" customWidth="1"/>
    <col min="12303" max="12303" width="4.7109375" style="254" hidden="1" customWidth="1"/>
    <col min="12304" max="12304" width="7.85546875" style="254" hidden="1" customWidth="1"/>
    <col min="12305" max="12305" width="4" style="254" hidden="1" customWidth="1"/>
    <col min="12306" max="12306" width="6.5703125" style="254" hidden="1" customWidth="1"/>
    <col min="12307" max="12307" width="5.85546875" style="254" hidden="1" customWidth="1"/>
    <col min="12308" max="12308" width="6.5703125" style="254" hidden="1" customWidth="1"/>
    <col min="12309" max="12309" width="7.85546875" style="254" hidden="1" customWidth="1"/>
    <col min="12310" max="12312" width="4.28515625" style="254" hidden="1" customWidth="1"/>
    <col min="12313" max="12313" width="4.7109375" style="254" hidden="1" customWidth="1"/>
    <col min="12314" max="12314" width="4" style="254" hidden="1" customWidth="1"/>
    <col min="12315" max="12315" width="4.7109375" style="254" hidden="1" customWidth="1"/>
    <col min="12316" max="12316" width="5.85546875" style="254" hidden="1" customWidth="1"/>
    <col min="12317" max="12317" width="4.5703125" style="254" hidden="1" customWidth="1"/>
    <col min="12318" max="12318" width="7.85546875" style="254" hidden="1" customWidth="1"/>
    <col min="12319" max="12319" width="3.85546875" style="254" hidden="1" customWidth="1"/>
    <col min="12320" max="12320" width="6.7109375" style="254" hidden="1" customWidth="1"/>
    <col min="12321" max="12321" width="4.42578125" style="254" hidden="1" customWidth="1"/>
    <col min="12322" max="12322" width="5.28515625" style="254" hidden="1" customWidth="1"/>
    <col min="12323" max="12323" width="4.7109375" style="254" hidden="1" customWidth="1"/>
    <col min="12324" max="12325" width="6.7109375" style="254" hidden="1" customWidth="1"/>
    <col min="12326" max="12326" width="5" style="254" hidden="1" customWidth="1"/>
    <col min="12327" max="12327" width="6.5703125" style="254" hidden="1" customWidth="1"/>
    <col min="12328" max="12328" width="3.85546875" style="254" hidden="1" customWidth="1"/>
    <col min="12329" max="12330" width="7.140625" style="254" hidden="1" customWidth="1"/>
    <col min="12331" max="12331" width="1.140625" style="254" hidden="1" customWidth="1"/>
    <col min="12332" max="12547" width="0" style="254" hidden="1" customWidth="1"/>
    <col min="12548" max="12548" width="3.7109375" style="254" hidden="1" customWidth="1"/>
    <col min="12549" max="12549" width="9.7109375" style="254" hidden="1" customWidth="1"/>
    <col min="12550" max="12550" width="7" style="254" hidden="1" customWidth="1"/>
    <col min="12551" max="12552" width="3.7109375" style="254" hidden="1" customWidth="1"/>
    <col min="12553" max="12553" width="4.5703125" style="254" hidden="1" customWidth="1"/>
    <col min="12554" max="12554" width="5" style="254" hidden="1" customWidth="1"/>
    <col min="12555" max="12555" width="4.140625" style="254" hidden="1" customWidth="1"/>
    <col min="12556" max="12556" width="4.85546875" style="254" hidden="1" customWidth="1"/>
    <col min="12557" max="12558" width="6" style="254" hidden="1" customWidth="1"/>
    <col min="12559" max="12559" width="4.7109375" style="254" hidden="1" customWidth="1"/>
    <col min="12560" max="12560" width="7.85546875" style="254" hidden="1" customWidth="1"/>
    <col min="12561" max="12561" width="4" style="254" hidden="1" customWidth="1"/>
    <col min="12562" max="12562" width="6.5703125" style="254" hidden="1" customWidth="1"/>
    <col min="12563" max="12563" width="5.85546875" style="254" hidden="1" customWidth="1"/>
    <col min="12564" max="12564" width="6.5703125" style="254" hidden="1" customWidth="1"/>
    <col min="12565" max="12565" width="7.85546875" style="254" hidden="1" customWidth="1"/>
    <col min="12566" max="12568" width="4.28515625" style="254" hidden="1" customWidth="1"/>
    <col min="12569" max="12569" width="4.7109375" style="254" hidden="1" customWidth="1"/>
    <col min="12570" max="12570" width="4" style="254" hidden="1" customWidth="1"/>
    <col min="12571" max="12571" width="4.7109375" style="254" hidden="1" customWidth="1"/>
    <col min="12572" max="12572" width="5.85546875" style="254" hidden="1" customWidth="1"/>
    <col min="12573" max="12573" width="4.5703125" style="254" hidden="1" customWidth="1"/>
    <col min="12574" max="12574" width="7.85546875" style="254" hidden="1" customWidth="1"/>
    <col min="12575" max="12575" width="3.85546875" style="254" hidden="1" customWidth="1"/>
    <col min="12576" max="12576" width="6.7109375" style="254" hidden="1" customWidth="1"/>
    <col min="12577" max="12577" width="4.42578125" style="254" hidden="1" customWidth="1"/>
    <col min="12578" max="12578" width="5.28515625" style="254" hidden="1" customWidth="1"/>
    <col min="12579" max="12579" width="4.7109375" style="254" hidden="1" customWidth="1"/>
    <col min="12580" max="12581" width="6.7109375" style="254" hidden="1" customWidth="1"/>
    <col min="12582" max="12582" width="5" style="254" hidden="1" customWidth="1"/>
    <col min="12583" max="12583" width="6.5703125" style="254" hidden="1" customWidth="1"/>
    <col min="12584" max="12584" width="3.85546875" style="254" hidden="1" customWidth="1"/>
    <col min="12585" max="12586" width="7.140625" style="254" hidden="1" customWidth="1"/>
    <col min="12587" max="12587" width="1.140625" style="254" hidden="1" customWidth="1"/>
    <col min="12588" max="12803" width="0" style="254" hidden="1" customWidth="1"/>
    <col min="12804" max="12804" width="3.7109375" style="254" hidden="1" customWidth="1"/>
    <col min="12805" max="12805" width="9.7109375" style="254" hidden="1" customWidth="1"/>
    <col min="12806" max="12806" width="7" style="254" hidden="1" customWidth="1"/>
    <col min="12807" max="12808" width="3.7109375" style="254" hidden="1" customWidth="1"/>
    <col min="12809" max="12809" width="4.5703125" style="254" hidden="1" customWidth="1"/>
    <col min="12810" max="12810" width="5" style="254" hidden="1" customWidth="1"/>
    <col min="12811" max="12811" width="4.140625" style="254" hidden="1" customWidth="1"/>
    <col min="12812" max="12812" width="4.85546875" style="254" hidden="1" customWidth="1"/>
    <col min="12813" max="12814" width="6" style="254" hidden="1" customWidth="1"/>
    <col min="12815" max="12815" width="4.7109375" style="254" hidden="1" customWidth="1"/>
    <col min="12816" max="12816" width="7.85546875" style="254" hidden="1" customWidth="1"/>
    <col min="12817" max="12817" width="4" style="254" hidden="1" customWidth="1"/>
    <col min="12818" max="12818" width="6.5703125" style="254" hidden="1" customWidth="1"/>
    <col min="12819" max="12819" width="5.85546875" style="254" hidden="1" customWidth="1"/>
    <col min="12820" max="12820" width="6.5703125" style="254" hidden="1" customWidth="1"/>
    <col min="12821" max="12821" width="7.85546875" style="254" hidden="1" customWidth="1"/>
    <col min="12822" max="12824" width="4.28515625" style="254" hidden="1" customWidth="1"/>
    <col min="12825" max="12825" width="4.7109375" style="254" hidden="1" customWidth="1"/>
    <col min="12826" max="12826" width="4" style="254" hidden="1" customWidth="1"/>
    <col min="12827" max="12827" width="4.7109375" style="254" hidden="1" customWidth="1"/>
    <col min="12828" max="12828" width="5.85546875" style="254" hidden="1" customWidth="1"/>
    <col min="12829" max="12829" width="4.5703125" style="254" hidden="1" customWidth="1"/>
    <col min="12830" max="12830" width="7.85546875" style="254" hidden="1" customWidth="1"/>
    <col min="12831" max="12831" width="3.85546875" style="254" hidden="1" customWidth="1"/>
    <col min="12832" max="12832" width="6.7109375" style="254" hidden="1" customWidth="1"/>
    <col min="12833" max="12833" width="4.42578125" style="254" hidden="1" customWidth="1"/>
    <col min="12834" max="12834" width="5.28515625" style="254" hidden="1" customWidth="1"/>
    <col min="12835" max="12835" width="4.7109375" style="254" hidden="1" customWidth="1"/>
    <col min="12836" max="12837" width="6.7109375" style="254" hidden="1" customWidth="1"/>
    <col min="12838" max="12838" width="5" style="254" hidden="1" customWidth="1"/>
    <col min="12839" max="12839" width="6.5703125" style="254" hidden="1" customWidth="1"/>
    <col min="12840" max="12840" width="3.85546875" style="254" hidden="1" customWidth="1"/>
    <col min="12841" max="12842" width="7.140625" style="254" hidden="1" customWidth="1"/>
    <col min="12843" max="12843" width="1.140625" style="254" hidden="1" customWidth="1"/>
    <col min="12844" max="13059" width="0" style="254" hidden="1" customWidth="1"/>
    <col min="13060" max="13060" width="3.7109375" style="254" hidden="1" customWidth="1"/>
    <col min="13061" max="13061" width="9.7109375" style="254" hidden="1" customWidth="1"/>
    <col min="13062" max="13062" width="7" style="254" hidden="1" customWidth="1"/>
    <col min="13063" max="13064" width="3.7109375" style="254" hidden="1" customWidth="1"/>
    <col min="13065" max="13065" width="4.5703125" style="254" hidden="1" customWidth="1"/>
    <col min="13066" max="13066" width="5" style="254" hidden="1" customWidth="1"/>
    <col min="13067" max="13067" width="4.140625" style="254" hidden="1" customWidth="1"/>
    <col min="13068" max="13068" width="4.85546875" style="254" hidden="1" customWidth="1"/>
    <col min="13069" max="13070" width="6" style="254" hidden="1" customWidth="1"/>
    <col min="13071" max="13071" width="4.7109375" style="254" hidden="1" customWidth="1"/>
    <col min="13072" max="13072" width="7.85546875" style="254" hidden="1" customWidth="1"/>
    <col min="13073" max="13073" width="4" style="254" hidden="1" customWidth="1"/>
    <col min="13074" max="13074" width="6.5703125" style="254" hidden="1" customWidth="1"/>
    <col min="13075" max="13075" width="5.85546875" style="254" hidden="1" customWidth="1"/>
    <col min="13076" max="13076" width="6.5703125" style="254" hidden="1" customWidth="1"/>
    <col min="13077" max="13077" width="7.85546875" style="254" hidden="1" customWidth="1"/>
    <col min="13078" max="13080" width="4.28515625" style="254" hidden="1" customWidth="1"/>
    <col min="13081" max="13081" width="4.7109375" style="254" hidden="1" customWidth="1"/>
    <col min="13082" max="13082" width="4" style="254" hidden="1" customWidth="1"/>
    <col min="13083" max="13083" width="4.7109375" style="254" hidden="1" customWidth="1"/>
    <col min="13084" max="13084" width="5.85546875" style="254" hidden="1" customWidth="1"/>
    <col min="13085" max="13085" width="4.5703125" style="254" hidden="1" customWidth="1"/>
    <col min="13086" max="13086" width="7.85546875" style="254" hidden="1" customWidth="1"/>
    <col min="13087" max="13087" width="3.85546875" style="254" hidden="1" customWidth="1"/>
    <col min="13088" max="13088" width="6.7109375" style="254" hidden="1" customWidth="1"/>
    <col min="13089" max="13089" width="4.42578125" style="254" hidden="1" customWidth="1"/>
    <col min="13090" max="13090" width="5.28515625" style="254" hidden="1" customWidth="1"/>
    <col min="13091" max="13091" width="4.7109375" style="254" hidden="1" customWidth="1"/>
    <col min="13092" max="13093" width="6.7109375" style="254" hidden="1" customWidth="1"/>
    <col min="13094" max="13094" width="5" style="254" hidden="1" customWidth="1"/>
    <col min="13095" max="13095" width="6.5703125" style="254" hidden="1" customWidth="1"/>
    <col min="13096" max="13096" width="3.85546875" style="254" hidden="1" customWidth="1"/>
    <col min="13097" max="13098" width="7.140625" style="254" hidden="1" customWidth="1"/>
    <col min="13099" max="13099" width="1.140625" style="254" hidden="1" customWidth="1"/>
    <col min="13100" max="13315" width="0" style="254" hidden="1" customWidth="1"/>
    <col min="13316" max="13316" width="3.7109375" style="254" hidden="1" customWidth="1"/>
    <col min="13317" max="13317" width="9.7109375" style="254" hidden="1" customWidth="1"/>
    <col min="13318" max="13318" width="7" style="254" hidden="1" customWidth="1"/>
    <col min="13319" max="13320" width="3.7109375" style="254" hidden="1" customWidth="1"/>
    <col min="13321" max="13321" width="4.5703125" style="254" hidden="1" customWidth="1"/>
    <col min="13322" max="13322" width="5" style="254" hidden="1" customWidth="1"/>
    <col min="13323" max="13323" width="4.140625" style="254" hidden="1" customWidth="1"/>
    <col min="13324" max="13324" width="4.85546875" style="254" hidden="1" customWidth="1"/>
    <col min="13325" max="13326" width="6" style="254" hidden="1" customWidth="1"/>
    <col min="13327" max="13327" width="4.7109375" style="254" hidden="1" customWidth="1"/>
    <col min="13328" max="13328" width="7.85546875" style="254" hidden="1" customWidth="1"/>
    <col min="13329" max="13329" width="4" style="254" hidden="1" customWidth="1"/>
    <col min="13330" max="13330" width="6.5703125" style="254" hidden="1" customWidth="1"/>
    <col min="13331" max="13331" width="5.85546875" style="254" hidden="1" customWidth="1"/>
    <col min="13332" max="13332" width="6.5703125" style="254" hidden="1" customWidth="1"/>
    <col min="13333" max="13333" width="7.85546875" style="254" hidden="1" customWidth="1"/>
    <col min="13334" max="13336" width="4.28515625" style="254" hidden="1" customWidth="1"/>
    <col min="13337" max="13337" width="4.7109375" style="254" hidden="1" customWidth="1"/>
    <col min="13338" max="13338" width="4" style="254" hidden="1" customWidth="1"/>
    <col min="13339" max="13339" width="4.7109375" style="254" hidden="1" customWidth="1"/>
    <col min="13340" max="13340" width="5.85546875" style="254" hidden="1" customWidth="1"/>
    <col min="13341" max="13341" width="4.5703125" style="254" hidden="1" customWidth="1"/>
    <col min="13342" max="13342" width="7.85546875" style="254" hidden="1" customWidth="1"/>
    <col min="13343" max="13343" width="3.85546875" style="254" hidden="1" customWidth="1"/>
    <col min="13344" max="13344" width="6.7109375" style="254" hidden="1" customWidth="1"/>
    <col min="13345" max="13345" width="4.42578125" style="254" hidden="1" customWidth="1"/>
    <col min="13346" max="13346" width="5.28515625" style="254" hidden="1" customWidth="1"/>
    <col min="13347" max="13347" width="4.7109375" style="254" hidden="1" customWidth="1"/>
    <col min="13348" max="13349" width="6.7109375" style="254" hidden="1" customWidth="1"/>
    <col min="13350" max="13350" width="5" style="254" hidden="1" customWidth="1"/>
    <col min="13351" max="13351" width="6.5703125" style="254" hidden="1" customWidth="1"/>
    <col min="13352" max="13352" width="3.85546875" style="254" hidden="1" customWidth="1"/>
    <col min="13353" max="13354" width="7.140625" style="254" hidden="1" customWidth="1"/>
    <col min="13355" max="13355" width="1.140625" style="254" hidden="1" customWidth="1"/>
    <col min="13356" max="13571" width="0" style="254" hidden="1" customWidth="1"/>
    <col min="13572" max="13572" width="3.7109375" style="254" hidden="1" customWidth="1"/>
    <col min="13573" max="13573" width="9.7109375" style="254" hidden="1" customWidth="1"/>
    <col min="13574" max="13574" width="7" style="254" hidden="1" customWidth="1"/>
    <col min="13575" max="13576" width="3.7109375" style="254" hidden="1" customWidth="1"/>
    <col min="13577" max="13577" width="4.5703125" style="254" hidden="1" customWidth="1"/>
    <col min="13578" max="13578" width="5" style="254" hidden="1" customWidth="1"/>
    <col min="13579" max="13579" width="4.140625" style="254" hidden="1" customWidth="1"/>
    <col min="13580" max="13580" width="4.85546875" style="254" hidden="1" customWidth="1"/>
    <col min="13581" max="13582" width="6" style="254" hidden="1" customWidth="1"/>
    <col min="13583" max="13583" width="4.7109375" style="254" hidden="1" customWidth="1"/>
    <col min="13584" max="13584" width="7.85546875" style="254" hidden="1" customWidth="1"/>
    <col min="13585" max="13585" width="4" style="254" hidden="1" customWidth="1"/>
    <col min="13586" max="13586" width="6.5703125" style="254" hidden="1" customWidth="1"/>
    <col min="13587" max="13587" width="5.85546875" style="254" hidden="1" customWidth="1"/>
    <col min="13588" max="13588" width="6.5703125" style="254" hidden="1" customWidth="1"/>
    <col min="13589" max="13589" width="7.85546875" style="254" hidden="1" customWidth="1"/>
    <col min="13590" max="13592" width="4.28515625" style="254" hidden="1" customWidth="1"/>
    <col min="13593" max="13593" width="4.7109375" style="254" hidden="1" customWidth="1"/>
    <col min="13594" max="13594" width="4" style="254" hidden="1" customWidth="1"/>
    <col min="13595" max="13595" width="4.7109375" style="254" hidden="1" customWidth="1"/>
    <col min="13596" max="13596" width="5.85546875" style="254" hidden="1" customWidth="1"/>
    <col min="13597" max="13597" width="4.5703125" style="254" hidden="1" customWidth="1"/>
    <col min="13598" max="13598" width="7.85546875" style="254" hidden="1" customWidth="1"/>
    <col min="13599" max="13599" width="3.85546875" style="254" hidden="1" customWidth="1"/>
    <col min="13600" max="13600" width="6.7109375" style="254" hidden="1" customWidth="1"/>
    <col min="13601" max="13601" width="4.42578125" style="254" hidden="1" customWidth="1"/>
    <col min="13602" max="13602" width="5.28515625" style="254" hidden="1" customWidth="1"/>
    <col min="13603" max="13603" width="4.7109375" style="254" hidden="1" customWidth="1"/>
    <col min="13604" max="13605" width="6.7109375" style="254" hidden="1" customWidth="1"/>
    <col min="13606" max="13606" width="5" style="254" hidden="1" customWidth="1"/>
    <col min="13607" max="13607" width="6.5703125" style="254" hidden="1" customWidth="1"/>
    <col min="13608" max="13608" width="3.85546875" style="254" hidden="1" customWidth="1"/>
    <col min="13609" max="13610" width="7.140625" style="254" hidden="1" customWidth="1"/>
    <col min="13611" max="13611" width="1.140625" style="254" hidden="1" customWidth="1"/>
    <col min="13612" max="13827" width="0" style="254" hidden="1" customWidth="1"/>
    <col min="13828" max="13828" width="3.7109375" style="254" hidden="1" customWidth="1"/>
    <col min="13829" max="13829" width="9.7109375" style="254" hidden="1" customWidth="1"/>
    <col min="13830" max="13830" width="7" style="254" hidden="1" customWidth="1"/>
    <col min="13831" max="13832" width="3.7109375" style="254" hidden="1" customWidth="1"/>
    <col min="13833" max="13833" width="4.5703125" style="254" hidden="1" customWidth="1"/>
    <col min="13834" max="13834" width="5" style="254" hidden="1" customWidth="1"/>
    <col min="13835" max="13835" width="4.140625" style="254" hidden="1" customWidth="1"/>
    <col min="13836" max="13836" width="4.85546875" style="254" hidden="1" customWidth="1"/>
    <col min="13837" max="13838" width="6" style="254" hidden="1" customWidth="1"/>
    <col min="13839" max="13839" width="4.7109375" style="254" hidden="1" customWidth="1"/>
    <col min="13840" max="13840" width="7.85546875" style="254" hidden="1" customWidth="1"/>
    <col min="13841" max="13841" width="4" style="254" hidden="1" customWidth="1"/>
    <col min="13842" max="13842" width="6.5703125" style="254" hidden="1" customWidth="1"/>
    <col min="13843" max="13843" width="5.85546875" style="254" hidden="1" customWidth="1"/>
    <col min="13844" max="13844" width="6.5703125" style="254" hidden="1" customWidth="1"/>
    <col min="13845" max="13845" width="7.85546875" style="254" hidden="1" customWidth="1"/>
    <col min="13846" max="13848" width="4.28515625" style="254" hidden="1" customWidth="1"/>
    <col min="13849" max="13849" width="4.7109375" style="254" hidden="1" customWidth="1"/>
    <col min="13850" max="13850" width="4" style="254" hidden="1" customWidth="1"/>
    <col min="13851" max="13851" width="4.7109375" style="254" hidden="1" customWidth="1"/>
    <col min="13852" max="13852" width="5.85546875" style="254" hidden="1" customWidth="1"/>
    <col min="13853" max="13853" width="4.5703125" style="254" hidden="1" customWidth="1"/>
    <col min="13854" max="13854" width="7.85546875" style="254" hidden="1" customWidth="1"/>
    <col min="13855" max="13855" width="3.85546875" style="254" hidden="1" customWidth="1"/>
    <col min="13856" max="13856" width="6.7109375" style="254" hidden="1" customWidth="1"/>
    <col min="13857" max="13857" width="4.42578125" style="254" hidden="1" customWidth="1"/>
    <col min="13858" max="13858" width="5.28515625" style="254" hidden="1" customWidth="1"/>
    <col min="13859" max="13859" width="4.7109375" style="254" hidden="1" customWidth="1"/>
    <col min="13860" max="13861" width="6.7109375" style="254" hidden="1" customWidth="1"/>
    <col min="13862" max="13862" width="5" style="254" hidden="1" customWidth="1"/>
    <col min="13863" max="13863" width="6.5703125" style="254" hidden="1" customWidth="1"/>
    <col min="13864" max="13864" width="3.85546875" style="254" hidden="1" customWidth="1"/>
    <col min="13865" max="13866" width="7.140625" style="254" hidden="1" customWidth="1"/>
    <col min="13867" max="13867" width="1.140625" style="254" hidden="1" customWidth="1"/>
    <col min="13868" max="14083" width="0" style="254" hidden="1" customWidth="1"/>
    <col min="14084" max="14084" width="3.7109375" style="254" hidden="1" customWidth="1"/>
    <col min="14085" max="14085" width="9.7109375" style="254" hidden="1" customWidth="1"/>
    <col min="14086" max="14086" width="7" style="254" hidden="1" customWidth="1"/>
    <col min="14087" max="14088" width="3.7109375" style="254" hidden="1" customWidth="1"/>
    <col min="14089" max="14089" width="4.5703125" style="254" hidden="1" customWidth="1"/>
    <col min="14090" max="14090" width="5" style="254" hidden="1" customWidth="1"/>
    <col min="14091" max="14091" width="4.140625" style="254" hidden="1" customWidth="1"/>
    <col min="14092" max="14092" width="4.85546875" style="254" hidden="1" customWidth="1"/>
    <col min="14093" max="14094" width="6" style="254" hidden="1" customWidth="1"/>
    <col min="14095" max="14095" width="4.7109375" style="254" hidden="1" customWidth="1"/>
    <col min="14096" max="14096" width="7.85546875" style="254" hidden="1" customWidth="1"/>
    <col min="14097" max="14097" width="4" style="254" hidden="1" customWidth="1"/>
    <col min="14098" max="14098" width="6.5703125" style="254" hidden="1" customWidth="1"/>
    <col min="14099" max="14099" width="5.85546875" style="254" hidden="1" customWidth="1"/>
    <col min="14100" max="14100" width="6.5703125" style="254" hidden="1" customWidth="1"/>
    <col min="14101" max="14101" width="7.85546875" style="254" hidden="1" customWidth="1"/>
    <col min="14102" max="14104" width="4.28515625" style="254" hidden="1" customWidth="1"/>
    <col min="14105" max="14105" width="4.7109375" style="254" hidden="1" customWidth="1"/>
    <col min="14106" max="14106" width="4" style="254" hidden="1" customWidth="1"/>
    <col min="14107" max="14107" width="4.7109375" style="254" hidden="1" customWidth="1"/>
    <col min="14108" max="14108" width="5.85546875" style="254" hidden="1" customWidth="1"/>
    <col min="14109" max="14109" width="4.5703125" style="254" hidden="1" customWidth="1"/>
    <col min="14110" max="14110" width="7.85546875" style="254" hidden="1" customWidth="1"/>
    <col min="14111" max="14111" width="3.85546875" style="254" hidden="1" customWidth="1"/>
    <col min="14112" max="14112" width="6.7109375" style="254" hidden="1" customWidth="1"/>
    <col min="14113" max="14113" width="4.42578125" style="254" hidden="1" customWidth="1"/>
    <col min="14114" max="14114" width="5.28515625" style="254" hidden="1" customWidth="1"/>
    <col min="14115" max="14115" width="4.7109375" style="254" hidden="1" customWidth="1"/>
    <col min="14116" max="14117" width="6.7109375" style="254" hidden="1" customWidth="1"/>
    <col min="14118" max="14118" width="5" style="254" hidden="1" customWidth="1"/>
    <col min="14119" max="14119" width="6.5703125" style="254" hidden="1" customWidth="1"/>
    <col min="14120" max="14120" width="3.85546875" style="254" hidden="1" customWidth="1"/>
    <col min="14121" max="14122" width="7.140625" style="254" hidden="1" customWidth="1"/>
    <col min="14123" max="14123" width="1.140625" style="254" hidden="1" customWidth="1"/>
    <col min="14124" max="14339" width="0" style="254" hidden="1" customWidth="1"/>
    <col min="14340" max="14340" width="3.7109375" style="254" hidden="1" customWidth="1"/>
    <col min="14341" max="14341" width="9.7109375" style="254" hidden="1" customWidth="1"/>
    <col min="14342" max="14342" width="7" style="254" hidden="1" customWidth="1"/>
    <col min="14343" max="14344" width="3.7109375" style="254" hidden="1" customWidth="1"/>
    <col min="14345" max="14345" width="4.5703125" style="254" hidden="1" customWidth="1"/>
    <col min="14346" max="14346" width="5" style="254" hidden="1" customWidth="1"/>
    <col min="14347" max="14347" width="4.140625" style="254" hidden="1" customWidth="1"/>
    <col min="14348" max="14348" width="4.85546875" style="254" hidden="1" customWidth="1"/>
    <col min="14349" max="14350" width="6" style="254" hidden="1" customWidth="1"/>
    <col min="14351" max="14351" width="4.7109375" style="254" hidden="1" customWidth="1"/>
    <col min="14352" max="14352" width="7.85546875" style="254" hidden="1" customWidth="1"/>
    <col min="14353" max="14353" width="4" style="254" hidden="1" customWidth="1"/>
    <col min="14354" max="14354" width="6.5703125" style="254" hidden="1" customWidth="1"/>
    <col min="14355" max="14355" width="5.85546875" style="254" hidden="1" customWidth="1"/>
    <col min="14356" max="14356" width="6.5703125" style="254" hidden="1" customWidth="1"/>
    <col min="14357" max="14357" width="7.85546875" style="254" hidden="1" customWidth="1"/>
    <col min="14358" max="14360" width="4.28515625" style="254" hidden="1" customWidth="1"/>
    <col min="14361" max="14361" width="4.7109375" style="254" hidden="1" customWidth="1"/>
    <col min="14362" max="14362" width="4" style="254" hidden="1" customWidth="1"/>
    <col min="14363" max="14363" width="4.7109375" style="254" hidden="1" customWidth="1"/>
    <col min="14364" max="14364" width="5.85546875" style="254" hidden="1" customWidth="1"/>
    <col min="14365" max="14365" width="4.5703125" style="254" hidden="1" customWidth="1"/>
    <col min="14366" max="14366" width="7.85546875" style="254" hidden="1" customWidth="1"/>
    <col min="14367" max="14367" width="3.85546875" style="254" hidden="1" customWidth="1"/>
    <col min="14368" max="14368" width="6.7109375" style="254" hidden="1" customWidth="1"/>
    <col min="14369" max="14369" width="4.42578125" style="254" hidden="1" customWidth="1"/>
    <col min="14370" max="14370" width="5.28515625" style="254" hidden="1" customWidth="1"/>
    <col min="14371" max="14371" width="4.7109375" style="254" hidden="1" customWidth="1"/>
    <col min="14372" max="14373" width="6.7109375" style="254" hidden="1" customWidth="1"/>
    <col min="14374" max="14374" width="5" style="254" hidden="1" customWidth="1"/>
    <col min="14375" max="14375" width="6.5703125" style="254" hidden="1" customWidth="1"/>
    <col min="14376" max="14376" width="3.85546875" style="254" hidden="1" customWidth="1"/>
    <col min="14377" max="14378" width="7.140625" style="254" hidden="1" customWidth="1"/>
    <col min="14379" max="14379" width="1.140625" style="254" hidden="1" customWidth="1"/>
    <col min="14380" max="14595" width="0" style="254" hidden="1" customWidth="1"/>
    <col min="14596" max="14596" width="3.7109375" style="254" hidden="1" customWidth="1"/>
    <col min="14597" max="14597" width="9.7109375" style="254" hidden="1" customWidth="1"/>
    <col min="14598" max="14598" width="7" style="254" hidden="1" customWidth="1"/>
    <col min="14599" max="14600" width="3.7109375" style="254" hidden="1" customWidth="1"/>
    <col min="14601" max="14601" width="4.5703125" style="254" hidden="1" customWidth="1"/>
    <col min="14602" max="14602" width="5" style="254" hidden="1" customWidth="1"/>
    <col min="14603" max="14603" width="4.140625" style="254" hidden="1" customWidth="1"/>
    <col min="14604" max="14604" width="4.85546875" style="254" hidden="1" customWidth="1"/>
    <col min="14605" max="14606" width="6" style="254" hidden="1" customWidth="1"/>
    <col min="14607" max="14607" width="4.7109375" style="254" hidden="1" customWidth="1"/>
    <col min="14608" max="14608" width="7.85546875" style="254" hidden="1" customWidth="1"/>
    <col min="14609" max="14609" width="4" style="254" hidden="1" customWidth="1"/>
    <col min="14610" max="14610" width="6.5703125" style="254" hidden="1" customWidth="1"/>
    <col min="14611" max="14611" width="5.85546875" style="254" hidden="1" customWidth="1"/>
    <col min="14612" max="14612" width="6.5703125" style="254" hidden="1" customWidth="1"/>
    <col min="14613" max="14613" width="7.85546875" style="254" hidden="1" customWidth="1"/>
    <col min="14614" max="14616" width="4.28515625" style="254" hidden="1" customWidth="1"/>
    <col min="14617" max="14617" width="4.7109375" style="254" hidden="1" customWidth="1"/>
    <col min="14618" max="14618" width="4" style="254" hidden="1" customWidth="1"/>
    <col min="14619" max="14619" width="4.7109375" style="254" hidden="1" customWidth="1"/>
    <col min="14620" max="14620" width="5.85546875" style="254" hidden="1" customWidth="1"/>
    <col min="14621" max="14621" width="4.5703125" style="254" hidden="1" customWidth="1"/>
    <col min="14622" max="14622" width="7.85546875" style="254" hidden="1" customWidth="1"/>
    <col min="14623" max="14623" width="3.85546875" style="254" hidden="1" customWidth="1"/>
    <col min="14624" max="14624" width="6.7109375" style="254" hidden="1" customWidth="1"/>
    <col min="14625" max="14625" width="4.42578125" style="254" hidden="1" customWidth="1"/>
    <col min="14626" max="14626" width="5.28515625" style="254" hidden="1" customWidth="1"/>
    <col min="14627" max="14627" width="4.7109375" style="254" hidden="1" customWidth="1"/>
    <col min="14628" max="14629" width="6.7109375" style="254" hidden="1" customWidth="1"/>
    <col min="14630" max="14630" width="5" style="254" hidden="1" customWidth="1"/>
    <col min="14631" max="14631" width="6.5703125" style="254" hidden="1" customWidth="1"/>
    <col min="14632" max="14632" width="3.85546875" style="254" hidden="1" customWidth="1"/>
    <col min="14633" max="14634" width="7.140625" style="254" hidden="1" customWidth="1"/>
    <col min="14635" max="14635" width="1.140625" style="254" hidden="1" customWidth="1"/>
    <col min="14636" max="14851" width="0" style="254" hidden="1" customWidth="1"/>
    <col min="14852" max="14852" width="3.7109375" style="254" hidden="1" customWidth="1"/>
    <col min="14853" max="14853" width="9.7109375" style="254" hidden="1" customWidth="1"/>
    <col min="14854" max="14854" width="7" style="254" hidden="1" customWidth="1"/>
    <col min="14855" max="14856" width="3.7109375" style="254" hidden="1" customWidth="1"/>
    <col min="14857" max="14857" width="4.5703125" style="254" hidden="1" customWidth="1"/>
    <col min="14858" max="14858" width="5" style="254" hidden="1" customWidth="1"/>
    <col min="14859" max="14859" width="4.140625" style="254" hidden="1" customWidth="1"/>
    <col min="14860" max="14860" width="4.85546875" style="254" hidden="1" customWidth="1"/>
    <col min="14861" max="14862" width="6" style="254" hidden="1" customWidth="1"/>
    <col min="14863" max="14863" width="4.7109375" style="254" hidden="1" customWidth="1"/>
    <col min="14864" max="14864" width="7.85546875" style="254" hidden="1" customWidth="1"/>
    <col min="14865" max="14865" width="4" style="254" hidden="1" customWidth="1"/>
    <col min="14866" max="14866" width="6.5703125" style="254" hidden="1" customWidth="1"/>
    <col min="14867" max="14867" width="5.85546875" style="254" hidden="1" customWidth="1"/>
    <col min="14868" max="14868" width="6.5703125" style="254" hidden="1" customWidth="1"/>
    <col min="14869" max="14869" width="7.85546875" style="254" hidden="1" customWidth="1"/>
    <col min="14870" max="14872" width="4.28515625" style="254" hidden="1" customWidth="1"/>
    <col min="14873" max="14873" width="4.7109375" style="254" hidden="1" customWidth="1"/>
    <col min="14874" max="14874" width="4" style="254" hidden="1" customWidth="1"/>
    <col min="14875" max="14875" width="4.7109375" style="254" hidden="1" customWidth="1"/>
    <col min="14876" max="14876" width="5.85546875" style="254" hidden="1" customWidth="1"/>
    <col min="14877" max="14877" width="4.5703125" style="254" hidden="1" customWidth="1"/>
    <col min="14878" max="14878" width="7.85546875" style="254" hidden="1" customWidth="1"/>
    <col min="14879" max="14879" width="3.85546875" style="254" hidden="1" customWidth="1"/>
    <col min="14880" max="14880" width="6.7109375" style="254" hidden="1" customWidth="1"/>
    <col min="14881" max="14881" width="4.42578125" style="254" hidden="1" customWidth="1"/>
    <col min="14882" max="14882" width="5.28515625" style="254" hidden="1" customWidth="1"/>
    <col min="14883" max="14883" width="4.7109375" style="254" hidden="1" customWidth="1"/>
    <col min="14884" max="14885" width="6.7109375" style="254" hidden="1" customWidth="1"/>
    <col min="14886" max="14886" width="5" style="254" hidden="1" customWidth="1"/>
    <col min="14887" max="14887" width="6.5703125" style="254" hidden="1" customWidth="1"/>
    <col min="14888" max="14888" width="3.85546875" style="254" hidden="1" customWidth="1"/>
    <col min="14889" max="14890" width="7.140625" style="254" hidden="1" customWidth="1"/>
    <col min="14891" max="14891" width="1.140625" style="254" hidden="1" customWidth="1"/>
    <col min="14892" max="15107" width="0" style="254" hidden="1" customWidth="1"/>
    <col min="15108" max="15108" width="3.7109375" style="254" hidden="1" customWidth="1"/>
    <col min="15109" max="15109" width="9.7109375" style="254" hidden="1" customWidth="1"/>
    <col min="15110" max="15110" width="7" style="254" hidden="1" customWidth="1"/>
    <col min="15111" max="15112" width="3.7109375" style="254" hidden="1" customWidth="1"/>
    <col min="15113" max="15113" width="4.5703125" style="254" hidden="1" customWidth="1"/>
    <col min="15114" max="15114" width="5" style="254" hidden="1" customWidth="1"/>
    <col min="15115" max="15115" width="4.140625" style="254" hidden="1" customWidth="1"/>
    <col min="15116" max="15116" width="4.85546875" style="254" hidden="1" customWidth="1"/>
    <col min="15117" max="15118" width="6" style="254" hidden="1" customWidth="1"/>
    <col min="15119" max="15119" width="4.7109375" style="254" hidden="1" customWidth="1"/>
    <col min="15120" max="15120" width="7.85546875" style="254" hidden="1" customWidth="1"/>
    <col min="15121" max="15121" width="4" style="254" hidden="1" customWidth="1"/>
    <col min="15122" max="15122" width="6.5703125" style="254" hidden="1" customWidth="1"/>
    <col min="15123" max="15123" width="5.85546875" style="254" hidden="1" customWidth="1"/>
    <col min="15124" max="15124" width="6.5703125" style="254" hidden="1" customWidth="1"/>
    <col min="15125" max="15125" width="7.85546875" style="254" hidden="1" customWidth="1"/>
    <col min="15126" max="15128" width="4.28515625" style="254" hidden="1" customWidth="1"/>
    <col min="15129" max="15129" width="4.7109375" style="254" hidden="1" customWidth="1"/>
    <col min="15130" max="15130" width="4" style="254" hidden="1" customWidth="1"/>
    <col min="15131" max="15131" width="4.7109375" style="254" hidden="1" customWidth="1"/>
    <col min="15132" max="15132" width="5.85546875" style="254" hidden="1" customWidth="1"/>
    <col min="15133" max="15133" width="4.5703125" style="254" hidden="1" customWidth="1"/>
    <col min="15134" max="15134" width="7.85546875" style="254" hidden="1" customWidth="1"/>
    <col min="15135" max="15135" width="3.85546875" style="254" hidden="1" customWidth="1"/>
    <col min="15136" max="15136" width="6.7109375" style="254" hidden="1" customWidth="1"/>
    <col min="15137" max="15137" width="4.42578125" style="254" hidden="1" customWidth="1"/>
    <col min="15138" max="15138" width="5.28515625" style="254" hidden="1" customWidth="1"/>
    <col min="15139" max="15139" width="4.7109375" style="254" hidden="1" customWidth="1"/>
    <col min="15140" max="15141" width="6.7109375" style="254" hidden="1" customWidth="1"/>
    <col min="15142" max="15142" width="5" style="254" hidden="1" customWidth="1"/>
    <col min="15143" max="15143" width="6.5703125" style="254" hidden="1" customWidth="1"/>
    <col min="15144" max="15144" width="3.85546875" style="254" hidden="1" customWidth="1"/>
    <col min="15145" max="15146" width="7.140625" style="254" hidden="1" customWidth="1"/>
    <col min="15147" max="15147" width="1.140625" style="254" hidden="1" customWidth="1"/>
    <col min="15148" max="15363" width="0" style="254" hidden="1" customWidth="1"/>
    <col min="15364" max="15364" width="3.7109375" style="254" hidden="1" customWidth="1"/>
    <col min="15365" max="15365" width="9.7109375" style="254" hidden="1" customWidth="1"/>
    <col min="15366" max="15366" width="7" style="254" hidden="1" customWidth="1"/>
    <col min="15367" max="15368" width="3.7109375" style="254" hidden="1" customWidth="1"/>
    <col min="15369" max="15369" width="4.5703125" style="254" hidden="1" customWidth="1"/>
    <col min="15370" max="15370" width="5" style="254" hidden="1" customWidth="1"/>
    <col min="15371" max="15371" width="4.140625" style="254" hidden="1" customWidth="1"/>
    <col min="15372" max="15372" width="4.85546875" style="254" hidden="1" customWidth="1"/>
    <col min="15373" max="15374" width="6" style="254" hidden="1" customWidth="1"/>
    <col min="15375" max="15375" width="4.7109375" style="254" hidden="1" customWidth="1"/>
    <col min="15376" max="15376" width="7.85546875" style="254" hidden="1" customWidth="1"/>
    <col min="15377" max="15377" width="4" style="254" hidden="1" customWidth="1"/>
    <col min="15378" max="15378" width="6.5703125" style="254" hidden="1" customWidth="1"/>
    <col min="15379" max="15379" width="5.85546875" style="254" hidden="1" customWidth="1"/>
    <col min="15380" max="15380" width="6.5703125" style="254" hidden="1" customWidth="1"/>
    <col min="15381" max="15381" width="7.85546875" style="254" hidden="1" customWidth="1"/>
    <col min="15382" max="15384" width="4.28515625" style="254" hidden="1" customWidth="1"/>
    <col min="15385" max="15385" width="4.7109375" style="254" hidden="1" customWidth="1"/>
    <col min="15386" max="15386" width="4" style="254" hidden="1" customWidth="1"/>
    <col min="15387" max="15387" width="4.7109375" style="254" hidden="1" customWidth="1"/>
    <col min="15388" max="15388" width="5.85546875" style="254" hidden="1" customWidth="1"/>
    <col min="15389" max="15389" width="4.5703125" style="254" hidden="1" customWidth="1"/>
    <col min="15390" max="15390" width="7.85546875" style="254" hidden="1" customWidth="1"/>
    <col min="15391" max="15391" width="3.85546875" style="254" hidden="1" customWidth="1"/>
    <col min="15392" max="15392" width="6.7109375" style="254" hidden="1" customWidth="1"/>
    <col min="15393" max="15393" width="4.42578125" style="254" hidden="1" customWidth="1"/>
    <col min="15394" max="15394" width="5.28515625" style="254" hidden="1" customWidth="1"/>
    <col min="15395" max="15395" width="4.7109375" style="254" hidden="1" customWidth="1"/>
    <col min="15396" max="15397" width="6.7109375" style="254" hidden="1" customWidth="1"/>
    <col min="15398" max="15398" width="5" style="254" hidden="1" customWidth="1"/>
    <col min="15399" max="15399" width="6.5703125" style="254" hidden="1" customWidth="1"/>
    <col min="15400" max="15400" width="3.85546875" style="254" hidden="1" customWidth="1"/>
    <col min="15401" max="15402" width="7.140625" style="254" hidden="1" customWidth="1"/>
    <col min="15403" max="15403" width="1.140625" style="254" hidden="1" customWidth="1"/>
    <col min="15404" max="15619" width="0" style="254" hidden="1" customWidth="1"/>
    <col min="15620" max="15620" width="3.7109375" style="254" hidden="1" customWidth="1"/>
    <col min="15621" max="15621" width="9.7109375" style="254" hidden="1" customWidth="1"/>
    <col min="15622" max="15622" width="7" style="254" hidden="1" customWidth="1"/>
    <col min="15623" max="15624" width="3.7109375" style="254" hidden="1" customWidth="1"/>
    <col min="15625" max="15625" width="4.5703125" style="254" hidden="1" customWidth="1"/>
    <col min="15626" max="15626" width="5" style="254" hidden="1" customWidth="1"/>
    <col min="15627" max="15627" width="4.140625" style="254" hidden="1" customWidth="1"/>
    <col min="15628" max="15628" width="4.85546875" style="254" hidden="1" customWidth="1"/>
    <col min="15629" max="15630" width="6" style="254" hidden="1" customWidth="1"/>
    <col min="15631" max="15631" width="4.7109375" style="254" hidden="1" customWidth="1"/>
    <col min="15632" max="15632" width="7.85546875" style="254" hidden="1" customWidth="1"/>
    <col min="15633" max="15633" width="4" style="254" hidden="1" customWidth="1"/>
    <col min="15634" max="15634" width="6.5703125" style="254" hidden="1" customWidth="1"/>
    <col min="15635" max="15635" width="5.85546875" style="254" hidden="1" customWidth="1"/>
    <col min="15636" max="15636" width="6.5703125" style="254" hidden="1" customWidth="1"/>
    <col min="15637" max="15637" width="7.85546875" style="254" hidden="1" customWidth="1"/>
    <col min="15638" max="15640" width="4.28515625" style="254" hidden="1" customWidth="1"/>
    <col min="15641" max="15641" width="4.7109375" style="254" hidden="1" customWidth="1"/>
    <col min="15642" max="15642" width="4" style="254" hidden="1" customWidth="1"/>
    <col min="15643" max="15643" width="4.7109375" style="254" hidden="1" customWidth="1"/>
    <col min="15644" max="15644" width="5.85546875" style="254" hidden="1" customWidth="1"/>
    <col min="15645" max="15645" width="4.5703125" style="254" hidden="1" customWidth="1"/>
    <col min="15646" max="15646" width="7.85546875" style="254" hidden="1" customWidth="1"/>
    <col min="15647" max="15647" width="3.85546875" style="254" hidden="1" customWidth="1"/>
    <col min="15648" max="15648" width="6.7109375" style="254" hidden="1" customWidth="1"/>
    <col min="15649" max="15649" width="4.42578125" style="254" hidden="1" customWidth="1"/>
    <col min="15650" max="15650" width="5.28515625" style="254" hidden="1" customWidth="1"/>
    <col min="15651" max="15651" width="4.7109375" style="254" hidden="1" customWidth="1"/>
    <col min="15652" max="15653" width="6.7109375" style="254" hidden="1" customWidth="1"/>
    <col min="15654" max="15654" width="5" style="254" hidden="1" customWidth="1"/>
    <col min="15655" max="15655" width="6.5703125" style="254" hidden="1" customWidth="1"/>
    <col min="15656" max="15656" width="3.85546875" style="254" hidden="1" customWidth="1"/>
    <col min="15657" max="15658" width="7.140625" style="254" hidden="1" customWidth="1"/>
    <col min="15659" max="15659" width="1.140625" style="254" hidden="1" customWidth="1"/>
    <col min="15660" max="15875" width="0" style="254" hidden="1" customWidth="1"/>
    <col min="15876" max="15876" width="3.7109375" style="254" hidden="1" customWidth="1"/>
    <col min="15877" max="15877" width="9.7109375" style="254" hidden="1" customWidth="1"/>
    <col min="15878" max="15878" width="7" style="254" hidden="1" customWidth="1"/>
    <col min="15879" max="15880" width="3.7109375" style="254" hidden="1" customWidth="1"/>
    <col min="15881" max="15881" width="4.5703125" style="254" hidden="1" customWidth="1"/>
    <col min="15882" max="15882" width="5" style="254" hidden="1" customWidth="1"/>
    <col min="15883" max="15883" width="4.140625" style="254" hidden="1" customWidth="1"/>
    <col min="15884" max="15884" width="4.85546875" style="254" hidden="1" customWidth="1"/>
    <col min="15885" max="15886" width="6" style="254" hidden="1" customWidth="1"/>
    <col min="15887" max="15887" width="4.7109375" style="254" hidden="1" customWidth="1"/>
    <col min="15888" max="15888" width="7.85546875" style="254" hidden="1" customWidth="1"/>
    <col min="15889" max="15889" width="4" style="254" hidden="1" customWidth="1"/>
    <col min="15890" max="15890" width="6.5703125" style="254" hidden="1" customWidth="1"/>
    <col min="15891" max="15891" width="5.85546875" style="254" hidden="1" customWidth="1"/>
    <col min="15892" max="15892" width="6.5703125" style="254" hidden="1" customWidth="1"/>
    <col min="15893" max="15893" width="7.85546875" style="254" hidden="1" customWidth="1"/>
    <col min="15894" max="15896" width="4.28515625" style="254" hidden="1" customWidth="1"/>
    <col min="15897" max="15897" width="4.7109375" style="254" hidden="1" customWidth="1"/>
    <col min="15898" max="15898" width="4" style="254" hidden="1" customWidth="1"/>
    <col min="15899" max="15899" width="4.7109375" style="254" hidden="1" customWidth="1"/>
    <col min="15900" max="15900" width="5.85546875" style="254" hidden="1" customWidth="1"/>
    <col min="15901" max="15901" width="4.5703125" style="254" hidden="1" customWidth="1"/>
    <col min="15902" max="15902" width="7.85546875" style="254" hidden="1" customWidth="1"/>
    <col min="15903" max="15903" width="3.85546875" style="254" hidden="1" customWidth="1"/>
    <col min="15904" max="15904" width="6.7109375" style="254" hidden="1" customWidth="1"/>
    <col min="15905" max="15905" width="4.42578125" style="254" hidden="1" customWidth="1"/>
    <col min="15906" max="15906" width="5.28515625" style="254" hidden="1" customWidth="1"/>
    <col min="15907" max="15907" width="4.7109375" style="254" hidden="1" customWidth="1"/>
    <col min="15908" max="15909" width="6.7109375" style="254" hidden="1" customWidth="1"/>
    <col min="15910" max="15910" width="5" style="254" hidden="1" customWidth="1"/>
    <col min="15911" max="15911" width="6.5703125" style="254" hidden="1" customWidth="1"/>
    <col min="15912" max="15912" width="3.85546875" style="254" hidden="1" customWidth="1"/>
    <col min="15913" max="15914" width="7.140625" style="254" hidden="1" customWidth="1"/>
    <col min="15915" max="15915" width="1.140625" style="254" hidden="1" customWidth="1"/>
    <col min="15916" max="16131" width="0" style="254" hidden="1" customWidth="1"/>
    <col min="16132" max="16132" width="3.7109375" style="254" hidden="1" customWidth="1"/>
    <col min="16133" max="16133" width="9.7109375" style="254" hidden="1" customWidth="1"/>
    <col min="16134" max="16134" width="7" style="254" hidden="1" customWidth="1"/>
    <col min="16135" max="16136" width="3.7109375" style="254" hidden="1" customWidth="1"/>
    <col min="16137" max="16137" width="4.5703125" style="254" hidden="1" customWidth="1"/>
    <col min="16138" max="16138" width="5" style="254" hidden="1" customWidth="1"/>
    <col min="16139" max="16139" width="4.140625" style="254" hidden="1" customWidth="1"/>
    <col min="16140" max="16140" width="4.85546875" style="254" hidden="1" customWidth="1"/>
    <col min="16141" max="16142" width="6" style="254" hidden="1" customWidth="1"/>
    <col min="16143" max="16143" width="4.7109375" style="254" hidden="1" customWidth="1"/>
    <col min="16144" max="16144" width="7.85546875" style="254" hidden="1" customWidth="1"/>
    <col min="16145" max="16145" width="4" style="254" hidden="1" customWidth="1"/>
    <col min="16146" max="16146" width="6.5703125" style="254" hidden="1" customWidth="1"/>
    <col min="16147" max="16147" width="5.85546875" style="254" hidden="1" customWidth="1"/>
    <col min="16148" max="16148" width="6.5703125" style="254" hidden="1" customWidth="1"/>
    <col min="16149" max="16149" width="7.85546875" style="254" hidden="1" customWidth="1"/>
    <col min="16150" max="16152" width="4.28515625" style="254" hidden="1" customWidth="1"/>
    <col min="16153" max="16153" width="4.7109375" style="254" hidden="1" customWidth="1"/>
    <col min="16154" max="16154" width="4" style="254" hidden="1" customWidth="1"/>
    <col min="16155" max="16155" width="4.7109375" style="254" hidden="1" customWidth="1"/>
    <col min="16156" max="16156" width="5.85546875" style="254" hidden="1" customWidth="1"/>
    <col min="16157" max="16157" width="4.5703125" style="254" hidden="1" customWidth="1"/>
    <col min="16158" max="16158" width="7.85546875" style="254" hidden="1" customWidth="1"/>
    <col min="16159" max="16159" width="3.85546875" style="254" hidden="1" customWidth="1"/>
    <col min="16160" max="16160" width="6.7109375" style="254" hidden="1" customWidth="1"/>
    <col min="16161" max="16161" width="4.42578125" style="254" hidden="1" customWidth="1"/>
    <col min="16162" max="16162" width="5.28515625" style="254" hidden="1" customWidth="1"/>
    <col min="16163" max="16163" width="4.7109375" style="254" hidden="1" customWidth="1"/>
    <col min="16164" max="16165" width="6.7109375" style="254" hidden="1" customWidth="1"/>
    <col min="16166" max="16166" width="5" style="254" hidden="1" customWidth="1"/>
    <col min="16167" max="16167" width="6.5703125" style="254" hidden="1" customWidth="1"/>
    <col min="16168" max="16168" width="3.85546875" style="254" hidden="1" customWidth="1"/>
    <col min="16169" max="16170" width="7.140625" style="254" hidden="1" customWidth="1"/>
    <col min="16171" max="16177" width="1.140625" style="254" hidden="1" customWidth="1"/>
    <col min="16178" max="16384" width="0" style="254" hidden="1" customWidth="1"/>
  </cols>
  <sheetData>
    <row r="1" spans="1:42" ht="26.25" customHeight="1">
      <c r="A1" s="764" t="str">
        <f>CONCATENATE("Difference statement of RPS,2020 of ",Data!G4," ",Data!I4,", ",Data!I6,", ",Data!I7," ",Data!I8," Mandal ",Data!I9)</f>
        <v>Difference statement of RPS,2020 of Sri. Putta Srinivas Reddy, Secondary Grade Teacher, MPPS SRM Domakonda Mandal Domakonda</v>
      </c>
      <c r="B1" s="764"/>
      <c r="C1" s="764"/>
      <c r="D1" s="764"/>
      <c r="E1" s="764"/>
      <c r="F1" s="764"/>
      <c r="G1" s="764"/>
      <c r="H1" s="764"/>
      <c r="I1" s="764"/>
      <c r="J1" s="764"/>
      <c r="K1" s="764"/>
      <c r="L1" s="764"/>
      <c r="M1" s="764"/>
      <c r="N1" s="764"/>
      <c r="O1" s="764"/>
      <c r="P1" s="764"/>
      <c r="Q1" s="764"/>
      <c r="R1" s="764"/>
      <c r="S1" s="764"/>
      <c r="T1" s="764"/>
      <c r="U1" s="764"/>
      <c r="V1" s="764"/>
      <c r="W1" s="764"/>
      <c r="X1" s="764"/>
      <c r="Y1" s="764"/>
      <c r="Z1" s="764"/>
      <c r="AA1" s="764"/>
      <c r="AB1" s="764"/>
      <c r="AC1" s="764"/>
      <c r="AD1" s="764"/>
      <c r="AE1" s="764"/>
      <c r="AF1" s="764"/>
      <c r="AG1" s="764"/>
      <c r="AH1" s="764"/>
      <c r="AI1" s="764"/>
      <c r="AJ1" s="764"/>
      <c r="AK1" s="764"/>
      <c r="AL1" s="764"/>
      <c r="AM1" s="764"/>
      <c r="AN1" s="764"/>
      <c r="AO1" s="764"/>
      <c r="AP1" s="764"/>
    </row>
    <row r="2" spans="1:42" s="255" customFormat="1" ht="23.25" customHeight="1" thickBot="1">
      <c r="A2" s="765" t="str">
        <f>CONCATENATE("Employee ID: ",Data!I11)</f>
        <v>Employee ID: 2026087</v>
      </c>
      <c r="B2" s="765"/>
      <c r="C2" s="765"/>
      <c r="D2" s="765"/>
      <c r="E2" s="765"/>
      <c r="F2" s="765"/>
      <c r="G2" s="281"/>
      <c r="H2" s="274"/>
      <c r="I2" s="283"/>
      <c r="J2" s="283"/>
      <c r="K2" s="282"/>
      <c r="M2" s="281"/>
      <c r="W2" s="256"/>
      <c r="Y2" s="256"/>
    </row>
    <row r="3" spans="1:42" s="255" customFormat="1" ht="18.75" customHeight="1">
      <c r="A3" s="741" t="s">
        <v>455</v>
      </c>
      <c r="B3" s="743" t="s">
        <v>156</v>
      </c>
      <c r="C3" s="745" t="s">
        <v>157</v>
      </c>
      <c r="D3" s="383"/>
      <c r="E3" s="383"/>
      <c r="F3" s="383"/>
      <c r="G3" s="383"/>
      <c r="H3" s="383"/>
      <c r="I3" s="383"/>
      <c r="J3" s="383"/>
      <c r="K3" s="383"/>
      <c r="L3" s="383"/>
      <c r="M3" s="383"/>
      <c r="N3" s="746"/>
      <c r="O3" s="747" t="s">
        <v>158</v>
      </c>
      <c r="P3" s="745" t="s">
        <v>159</v>
      </c>
      <c r="Q3" s="383"/>
      <c r="R3" s="383"/>
      <c r="S3" s="383"/>
      <c r="T3" s="383"/>
      <c r="U3" s="383"/>
      <c r="V3" s="383"/>
      <c r="W3" s="383"/>
      <c r="X3" s="383"/>
      <c r="Y3" s="383"/>
      <c r="Z3" s="383"/>
      <c r="AA3" s="383"/>
      <c r="AB3" s="746"/>
      <c r="AC3" s="768" t="s">
        <v>160</v>
      </c>
      <c r="AD3" s="382" t="s">
        <v>161</v>
      </c>
      <c r="AE3" s="383"/>
      <c r="AF3" s="383"/>
      <c r="AG3" s="383"/>
      <c r="AH3" s="383"/>
      <c r="AI3" s="383"/>
      <c r="AJ3" s="383"/>
      <c r="AK3" s="383"/>
      <c r="AL3" s="383"/>
      <c r="AM3" s="746"/>
      <c r="AN3" s="770" t="s">
        <v>162</v>
      </c>
      <c r="AO3" s="747" t="s">
        <v>404</v>
      </c>
      <c r="AP3" s="766" t="s">
        <v>163</v>
      </c>
    </row>
    <row r="4" spans="1:42" s="257" customFormat="1" ht="55.5" customHeight="1" thickBot="1">
      <c r="A4" s="742"/>
      <c r="B4" s="744"/>
      <c r="C4" s="316" t="s">
        <v>164</v>
      </c>
      <c r="D4" s="316" t="s">
        <v>454</v>
      </c>
      <c r="E4" s="316" t="s">
        <v>168</v>
      </c>
      <c r="F4" s="316" t="str">
        <f>Data!E26</f>
        <v>HMA</v>
      </c>
      <c r="G4" s="316" t="s">
        <v>166</v>
      </c>
      <c r="H4" s="317" t="str">
        <f>Data!G26</f>
        <v xml:space="preserve">Higher Class </v>
      </c>
      <c r="I4" s="317" t="s">
        <v>167</v>
      </c>
      <c r="J4" s="316" t="s">
        <v>169</v>
      </c>
      <c r="K4" s="316" t="str">
        <f>Data!J26</f>
        <v>AHRA</v>
      </c>
      <c r="L4" s="316" t="s">
        <v>170</v>
      </c>
      <c r="M4" s="316" t="str">
        <f>Data!L26</f>
        <v>SCA</v>
      </c>
      <c r="N4" s="316" t="s">
        <v>105</v>
      </c>
      <c r="O4" s="748"/>
      <c r="P4" s="316" t="s">
        <v>164</v>
      </c>
      <c r="Q4" s="316" t="s">
        <v>168</v>
      </c>
      <c r="R4" s="316" t="s">
        <v>105</v>
      </c>
      <c r="S4" s="316" t="s">
        <v>454</v>
      </c>
      <c r="T4" s="316" t="s">
        <v>165</v>
      </c>
      <c r="U4" s="316" t="s">
        <v>166</v>
      </c>
      <c r="V4" s="317" t="str">
        <f>H4</f>
        <v xml:space="preserve">Higher Class </v>
      </c>
      <c r="W4" s="317" t="s">
        <v>167</v>
      </c>
      <c r="X4" s="316" t="s">
        <v>169</v>
      </c>
      <c r="Y4" s="316" t="str">
        <f>K4</f>
        <v>AHRA</v>
      </c>
      <c r="Z4" s="316" t="s">
        <v>170</v>
      </c>
      <c r="AA4" s="316" t="str">
        <f>M4</f>
        <v>SCA</v>
      </c>
      <c r="AB4" s="316" t="s">
        <v>105</v>
      </c>
      <c r="AC4" s="769"/>
      <c r="AD4" s="318" t="s">
        <v>164</v>
      </c>
      <c r="AE4" s="316" t="s">
        <v>168</v>
      </c>
      <c r="AF4" s="316" t="s">
        <v>165</v>
      </c>
      <c r="AG4" s="316" t="s">
        <v>166</v>
      </c>
      <c r="AH4" s="317" t="str">
        <f>H4</f>
        <v xml:space="preserve">Higher Class </v>
      </c>
      <c r="AI4" s="316" t="s">
        <v>169</v>
      </c>
      <c r="AJ4" s="316" t="str">
        <f>Y4</f>
        <v>AHRA</v>
      </c>
      <c r="AK4" s="316" t="s">
        <v>170</v>
      </c>
      <c r="AL4" s="316" t="str">
        <f>AA4</f>
        <v>SCA</v>
      </c>
      <c r="AM4" s="316" t="s">
        <v>105</v>
      </c>
      <c r="AN4" s="771"/>
      <c r="AO4" s="748"/>
      <c r="AP4" s="767"/>
    </row>
    <row r="5" spans="1:42" s="258" customFormat="1" ht="19.5" customHeight="1" thickBot="1">
      <c r="A5" s="749" t="s">
        <v>408</v>
      </c>
      <c r="B5" s="750"/>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1"/>
    </row>
    <row r="6" spans="1:42" s="255" customFormat="1" ht="27.75" customHeight="1">
      <c r="A6" s="319">
        <v>1</v>
      </c>
      <c r="B6" s="320" t="str">
        <f>Data!AM215</f>
        <v>Jul, 2018</v>
      </c>
      <c r="C6" s="321">
        <f>IF(A6&gt;Data!AM$303,0,Data!AV215)</f>
        <v>55720</v>
      </c>
      <c r="D6" s="322">
        <f>IF(C6&gt;0,Data!$L$23+Data!M$24,0)</f>
        <v>35</v>
      </c>
      <c r="E6" s="321">
        <f>ROUND(C6*Data!AW215%,0.1)</f>
        <v>0</v>
      </c>
      <c r="F6" s="322">
        <f>T6</f>
        <v>10</v>
      </c>
      <c r="G6" s="321">
        <f>U6</f>
        <v>2000</v>
      </c>
      <c r="H6" s="321">
        <f>V6</f>
        <v>30</v>
      </c>
      <c r="I6" s="321">
        <f>IF(C6&gt;0,Data!F$23,0)</f>
        <v>390</v>
      </c>
      <c r="J6" s="321">
        <f>IF(C6&gt;0,Data!BB215,0)</f>
        <v>13373</v>
      </c>
      <c r="K6" s="323">
        <f>Y6</f>
        <v>0</v>
      </c>
      <c r="L6" s="321">
        <f>Z6</f>
        <v>0</v>
      </c>
      <c r="M6" s="322">
        <v>0</v>
      </c>
      <c r="N6" s="321">
        <f t="shared" ref="N6:N29" si="0">SUM(C6:L6)</f>
        <v>71558</v>
      </c>
      <c r="O6" s="321">
        <f>IF(Data!P$23="Yes",0,IF(N6&gt;=20000,200,IF(N6&gt;=15000,150,IF(N6&gt;=10000,100,0))))</f>
        <v>0</v>
      </c>
      <c r="P6" s="321">
        <f>IF(C6&gt;0,Data!AU215,0)</f>
        <v>34170</v>
      </c>
      <c r="Q6" s="321">
        <f>ROUND(P6*30.392%,0.1)</f>
        <v>10385</v>
      </c>
      <c r="R6" s="321">
        <f>SUM(P6:Q6)</f>
        <v>44555</v>
      </c>
      <c r="S6" s="324">
        <f t="shared" ref="S6:S26" si="1">D6</f>
        <v>35</v>
      </c>
      <c r="T6" s="324">
        <f>IF(C6&gt;0,Data!E$27,0)</f>
        <v>10</v>
      </c>
      <c r="U6" s="321">
        <f>IF(Data!P$23="Yes",MIN(ROUND(P6*10%,0.1),2000),0)</f>
        <v>2000</v>
      </c>
      <c r="V6" s="321">
        <f>IF(C6&gt;0,Data!G$28,0)</f>
        <v>30</v>
      </c>
      <c r="W6" s="325">
        <f>IF(C6&gt;0,Data!F$23,0)</f>
        <v>390</v>
      </c>
      <c r="X6" s="321">
        <f>IF(P6&gt;0,Data!AY215,0)</f>
        <v>10251</v>
      </c>
      <c r="Y6" s="325">
        <f>IF(P6&gt;0,IF(Data!J$27="Yes",MIN(ROUND(P6*8%,0.1),2000),0),0)</f>
        <v>0</v>
      </c>
      <c r="Z6" s="321">
        <f>IF(C6&gt;0,Data!BH215,0)</f>
        <v>0</v>
      </c>
      <c r="AA6" s="322">
        <v>0</v>
      </c>
      <c r="AB6" s="321">
        <f t="shared" ref="AB6:AB29" si="2">SUM(R6:Z6)</f>
        <v>57271</v>
      </c>
      <c r="AC6" s="326">
        <f>IF(Data!P$23="Yes",0,IF(AB6&gt;=20000,200,IF(AB6&gt;=15000,150,IF(AB6&gt;=10000,100,IF(AB6&gt;=8000,80,0)))))</f>
        <v>0</v>
      </c>
      <c r="AD6" s="327">
        <f t="shared" ref="AD6:AD29" si="3">C6-R6</f>
        <v>11165</v>
      </c>
      <c r="AE6" s="321">
        <f t="shared" ref="AE6:AE29" si="4">E6</f>
        <v>0</v>
      </c>
      <c r="AF6" s="321">
        <f t="shared" ref="AF6:AF29" si="5">F6-T6</f>
        <v>0</v>
      </c>
      <c r="AG6" s="321">
        <f t="shared" ref="AG6:AG29" si="6">G6-U6</f>
        <v>0</v>
      </c>
      <c r="AH6" s="321">
        <f t="shared" ref="AH6:AH29" si="7">H6-V6</f>
        <v>0</v>
      </c>
      <c r="AI6" s="321">
        <f>J6-X6</f>
        <v>3122</v>
      </c>
      <c r="AJ6" s="323">
        <f>K6-Y6</f>
        <v>0</v>
      </c>
      <c r="AK6" s="321">
        <f>L6-Z6</f>
        <v>0</v>
      </c>
      <c r="AL6" s="321">
        <f>M6-AA6</f>
        <v>0</v>
      </c>
      <c r="AM6" s="321">
        <f t="shared" ref="AM6:AM29" si="8">SUM(AD6:AK6)</f>
        <v>14287</v>
      </c>
      <c r="AN6" s="321">
        <f t="shared" ref="AN6:AN29" si="9">O6-AC6</f>
        <v>0</v>
      </c>
      <c r="AO6" s="321">
        <f>IF(Data!O$11="CPS",(ROUND(C6*10%,0.1)+ROUND(E6*10%,0.1))-(ROUND(P6*10%,0.1)+ROUND(Q6*10%,0.1)),0)</f>
        <v>0</v>
      </c>
      <c r="AP6" s="259">
        <f>AM6-AN6-AO6</f>
        <v>14287</v>
      </c>
    </row>
    <row r="7" spans="1:42" s="255" customFormat="1" ht="27.75" customHeight="1">
      <c r="A7" s="329">
        <v>2</v>
      </c>
      <c r="B7" s="320" t="str">
        <f>Data!AM216</f>
        <v>Aug, 2018</v>
      </c>
      <c r="C7" s="321">
        <f>IF(A7&gt;Data!AM$303,0,Data!AV216)</f>
        <v>55720</v>
      </c>
      <c r="D7" s="322">
        <f>IF(C7&gt;0,Data!$L$23+Data!M$24,0)</f>
        <v>35</v>
      </c>
      <c r="E7" s="321">
        <f>ROUND(C7*Data!AW216%,0.1)</f>
        <v>0</v>
      </c>
      <c r="F7" s="322">
        <f t="shared" ref="F7:F26" si="10">T7</f>
        <v>10</v>
      </c>
      <c r="G7" s="321">
        <f t="shared" ref="G7:G26" si="11">U7</f>
        <v>2000</v>
      </c>
      <c r="H7" s="321">
        <f t="shared" ref="H7:H26" si="12">V7</f>
        <v>30</v>
      </c>
      <c r="I7" s="321">
        <f>IF(C7&gt;0,Data!F$23,0)</f>
        <v>390</v>
      </c>
      <c r="J7" s="321">
        <f>IF(C7&gt;0,Data!BB216,0)</f>
        <v>13373</v>
      </c>
      <c r="K7" s="323">
        <f>Y7</f>
        <v>0</v>
      </c>
      <c r="L7" s="321">
        <f t="shared" ref="L7:L26" si="13">Z7</f>
        <v>0</v>
      </c>
      <c r="M7" s="322">
        <v>0</v>
      </c>
      <c r="N7" s="321">
        <f t="shared" si="0"/>
        <v>71558</v>
      </c>
      <c r="O7" s="321">
        <f>IF(Data!P$23="Yes",0,IF(N7&gt;=20000,200,IF(N7&gt;=15000,150,IF(N7&gt;=10000,100,0))))</f>
        <v>0</v>
      </c>
      <c r="P7" s="321">
        <f>IF(C7&gt;0,Data!AU216,0)</f>
        <v>34170</v>
      </c>
      <c r="Q7" s="321">
        <f t="shared" ref="Q7:Q11" si="14">ROUND(P7*30.392%,0.1)</f>
        <v>10385</v>
      </c>
      <c r="R7" s="321">
        <f>SUM(P7:Q7)</f>
        <v>44555</v>
      </c>
      <c r="S7" s="324">
        <f t="shared" si="1"/>
        <v>35</v>
      </c>
      <c r="T7" s="324">
        <f>IF(C7&gt;0,Data!E$27,0)</f>
        <v>10</v>
      </c>
      <c r="U7" s="321">
        <f>IF(Data!P$23="Yes",MIN(ROUND(P7*10%,0.1),2000),0)</f>
        <v>2000</v>
      </c>
      <c r="V7" s="321">
        <f>IF(C7&gt;0,Data!G$28,0)</f>
        <v>30</v>
      </c>
      <c r="W7" s="325">
        <f>IF(C7&gt;0,Data!F$23,0)</f>
        <v>390</v>
      </c>
      <c r="X7" s="321">
        <f>IF(P7&gt;0,Data!AY216,0)</f>
        <v>10251</v>
      </c>
      <c r="Y7" s="325">
        <f>IF(P7&gt;0,IF(Data!J$27="Yes",MIN(ROUND(P7*8%,0.1),2000),0),0)</f>
        <v>0</v>
      </c>
      <c r="Z7" s="321">
        <f>IF(C7&gt;0,Data!BH216,0)</f>
        <v>0</v>
      </c>
      <c r="AA7" s="322">
        <v>0</v>
      </c>
      <c r="AB7" s="321">
        <f t="shared" si="2"/>
        <v>57271</v>
      </c>
      <c r="AC7" s="326">
        <f>IF(Data!P$23="Yes",0,IF(AB7&gt;=20000,200,IF(AB7&gt;=15000,150,IF(AB7&gt;=10000,100,IF(AB7&gt;=8000,80,0)))))</f>
        <v>0</v>
      </c>
      <c r="AD7" s="327">
        <f t="shared" si="3"/>
        <v>11165</v>
      </c>
      <c r="AE7" s="321">
        <f t="shared" si="4"/>
        <v>0</v>
      </c>
      <c r="AF7" s="321">
        <f t="shared" si="5"/>
        <v>0</v>
      </c>
      <c r="AG7" s="321">
        <f t="shared" si="6"/>
        <v>0</v>
      </c>
      <c r="AH7" s="321">
        <f t="shared" si="7"/>
        <v>0</v>
      </c>
      <c r="AI7" s="321">
        <f t="shared" ref="AI7:AI29" si="15">J7-X7</f>
        <v>3122</v>
      </c>
      <c r="AJ7" s="321">
        <f t="shared" ref="AJ7:AJ29" si="16">K7-Y7</f>
        <v>0</v>
      </c>
      <c r="AK7" s="321">
        <f t="shared" ref="AK7:AK29" si="17">L7-Z7</f>
        <v>0</v>
      </c>
      <c r="AL7" s="321">
        <f t="shared" ref="AL7:AL26" si="18">M7-AA7</f>
        <v>0</v>
      </c>
      <c r="AM7" s="321">
        <f t="shared" si="8"/>
        <v>14287</v>
      </c>
      <c r="AN7" s="321">
        <f t="shared" si="9"/>
        <v>0</v>
      </c>
      <c r="AO7" s="321">
        <f>IF(Data!O$11="CPS",(ROUND(C7*10%,0.1)+ROUND(E7*10%,0.1))-(ROUND(P7*10%,0.1)+ROUND(Q7*10%,0.1)),0)</f>
        <v>0</v>
      </c>
      <c r="AP7" s="259">
        <f t="shared" ref="AP7:AP55" si="19">AM7-AN7-AO7</f>
        <v>14287</v>
      </c>
    </row>
    <row r="8" spans="1:42" s="255" customFormat="1" ht="27.75" customHeight="1">
      <c r="A8" s="329">
        <v>3</v>
      </c>
      <c r="B8" s="320" t="str">
        <f>Data!AM217</f>
        <v>Sep, 2018</v>
      </c>
      <c r="C8" s="321">
        <f>IF(A8&gt;Data!AM$303,0,Data!AV217)</f>
        <v>55720</v>
      </c>
      <c r="D8" s="322">
        <f>IF(C8&gt;0,Data!$L$23+Data!M$24,0)</f>
        <v>35</v>
      </c>
      <c r="E8" s="321">
        <f>ROUND(C8*Data!AW217%,0.1)</f>
        <v>0</v>
      </c>
      <c r="F8" s="322">
        <f t="shared" si="10"/>
        <v>10</v>
      </c>
      <c r="G8" s="321">
        <f t="shared" si="11"/>
        <v>2000</v>
      </c>
      <c r="H8" s="321">
        <f t="shared" si="12"/>
        <v>30</v>
      </c>
      <c r="I8" s="321">
        <f>IF(C8&gt;0,Data!F$23,0)</f>
        <v>390</v>
      </c>
      <c r="J8" s="321">
        <f>IF(C8&gt;0,Data!BB217,0)</f>
        <v>13373</v>
      </c>
      <c r="K8" s="323">
        <f t="shared" ref="K8:K26" si="20">Y8</f>
        <v>0</v>
      </c>
      <c r="L8" s="321">
        <f t="shared" si="13"/>
        <v>0</v>
      </c>
      <c r="M8" s="322">
        <v>0</v>
      </c>
      <c r="N8" s="321">
        <f t="shared" si="0"/>
        <v>71558</v>
      </c>
      <c r="O8" s="321">
        <f>IF(Data!P$23="Yes",0,IF(N8&gt;=20000,200,IF(N8&gt;=15000,150,IF(N8&gt;=10000,100,0))))</f>
        <v>0</v>
      </c>
      <c r="P8" s="321">
        <f>IF(C8&gt;0,Data!AU217,0)</f>
        <v>34170</v>
      </c>
      <c r="Q8" s="321">
        <f t="shared" si="14"/>
        <v>10385</v>
      </c>
      <c r="R8" s="321">
        <f t="shared" ref="R8:R29" si="21">SUM(P8:Q8)</f>
        <v>44555</v>
      </c>
      <c r="S8" s="324">
        <f t="shared" si="1"/>
        <v>35</v>
      </c>
      <c r="T8" s="324">
        <f>IF(C8&gt;0,Data!E$27,0)</f>
        <v>10</v>
      </c>
      <c r="U8" s="321">
        <f>IF(Data!P$23="Yes",MIN(ROUND(P8*10%,0.1),2000),0)</f>
        <v>2000</v>
      </c>
      <c r="V8" s="321">
        <f>IF(C8&gt;0,Data!G$28,0)</f>
        <v>30</v>
      </c>
      <c r="W8" s="325">
        <f>IF(C8&gt;0,Data!F$23,0)</f>
        <v>390</v>
      </c>
      <c r="X8" s="321">
        <f>IF(P8&gt;0,Data!AY217,0)</f>
        <v>10251</v>
      </c>
      <c r="Y8" s="325">
        <f>IF(P8&gt;0,IF(Data!J$27="Yes",MIN(ROUND(P8*8%,0.1),2000),0),0)</f>
        <v>0</v>
      </c>
      <c r="Z8" s="321">
        <f>IF(C8&gt;0,Data!BH217,0)</f>
        <v>0</v>
      </c>
      <c r="AA8" s="322">
        <v>0</v>
      </c>
      <c r="AB8" s="321">
        <f t="shared" si="2"/>
        <v>57271</v>
      </c>
      <c r="AC8" s="326">
        <f>IF(Data!P$23="Yes",0,IF(AB8&gt;=20000,200,IF(AB8&gt;=15000,150,IF(AB8&gt;=10000,100,IF(AB8&gt;=8000,80,0)))))</f>
        <v>0</v>
      </c>
      <c r="AD8" s="327">
        <f t="shared" si="3"/>
        <v>11165</v>
      </c>
      <c r="AE8" s="321">
        <f t="shared" si="4"/>
        <v>0</v>
      </c>
      <c r="AF8" s="321">
        <f t="shared" si="5"/>
        <v>0</v>
      </c>
      <c r="AG8" s="321">
        <f t="shared" si="6"/>
        <v>0</v>
      </c>
      <c r="AH8" s="321">
        <f t="shared" si="7"/>
        <v>0</v>
      </c>
      <c r="AI8" s="321">
        <f t="shared" si="15"/>
        <v>3122</v>
      </c>
      <c r="AJ8" s="321">
        <f t="shared" si="16"/>
        <v>0</v>
      </c>
      <c r="AK8" s="321">
        <f t="shared" si="17"/>
        <v>0</v>
      </c>
      <c r="AL8" s="321">
        <f t="shared" si="18"/>
        <v>0</v>
      </c>
      <c r="AM8" s="321">
        <f t="shared" si="8"/>
        <v>14287</v>
      </c>
      <c r="AN8" s="321">
        <f t="shared" si="9"/>
        <v>0</v>
      </c>
      <c r="AO8" s="321">
        <f>IF(Data!O$11="CPS",(ROUND(C8*10%,0.1)+ROUND(E8*10%,0.1))-(ROUND(P8*10%,0.1)+ROUND(Q8*10%,0.1)),0)</f>
        <v>0</v>
      </c>
      <c r="AP8" s="259">
        <f t="shared" si="19"/>
        <v>14287</v>
      </c>
    </row>
    <row r="9" spans="1:42" s="255" customFormat="1" ht="27.75" customHeight="1">
      <c r="A9" s="329">
        <v>4</v>
      </c>
      <c r="B9" s="320" t="str">
        <f>Data!AM218</f>
        <v>Oct, 2018</v>
      </c>
      <c r="C9" s="321">
        <f>IF(A9&gt;Data!AM$303,0,Data!AV218)</f>
        <v>57220</v>
      </c>
      <c r="D9" s="322">
        <f>IF(C9&gt;0,Data!$L$23+Data!M$24,0)</f>
        <v>35</v>
      </c>
      <c r="E9" s="321">
        <f>ROUND(C9*Data!AW218%,0.1)</f>
        <v>0</v>
      </c>
      <c r="F9" s="322">
        <f t="shared" si="10"/>
        <v>10</v>
      </c>
      <c r="G9" s="321">
        <f t="shared" si="11"/>
        <v>2000</v>
      </c>
      <c r="H9" s="321">
        <f t="shared" si="12"/>
        <v>30</v>
      </c>
      <c r="I9" s="321">
        <f>IF(C9&gt;0,Data!F$23,0)</f>
        <v>390</v>
      </c>
      <c r="J9" s="321">
        <f>IF(C9&gt;0,Data!BB218,0)</f>
        <v>13733</v>
      </c>
      <c r="K9" s="323">
        <f t="shared" si="20"/>
        <v>0</v>
      </c>
      <c r="L9" s="321">
        <f t="shared" si="13"/>
        <v>0</v>
      </c>
      <c r="M9" s="322">
        <v>0</v>
      </c>
      <c r="N9" s="321">
        <f t="shared" si="0"/>
        <v>73418</v>
      </c>
      <c r="O9" s="321">
        <f>IF(Data!P$23="Yes",0,IF(N9&gt;=20000,200,IF(N9&gt;=15000,150,IF(N9&gt;=10000,100,0))))</f>
        <v>0</v>
      </c>
      <c r="P9" s="321">
        <f>IF(C9&gt;0,Data!AU218,0)</f>
        <v>35120</v>
      </c>
      <c r="Q9" s="321">
        <f t="shared" si="14"/>
        <v>10674</v>
      </c>
      <c r="R9" s="321">
        <f t="shared" si="21"/>
        <v>45794</v>
      </c>
      <c r="S9" s="324">
        <f t="shared" si="1"/>
        <v>35</v>
      </c>
      <c r="T9" s="324">
        <f>IF(C9&gt;0,Data!E$27,0)</f>
        <v>10</v>
      </c>
      <c r="U9" s="321">
        <f>IF(Data!P$23="Yes",MIN(ROUND(P9*10%,0.1),2000),0)</f>
        <v>2000</v>
      </c>
      <c r="V9" s="321">
        <f>IF(C9&gt;0,Data!G$28,0)</f>
        <v>30</v>
      </c>
      <c r="W9" s="325">
        <f>IF(C9&gt;0,Data!F$23,0)</f>
        <v>390</v>
      </c>
      <c r="X9" s="321">
        <f>IF(P9&gt;0,Data!AY218,0)</f>
        <v>10536</v>
      </c>
      <c r="Y9" s="325">
        <f>IF(P9&gt;0,IF(Data!J$27="Yes",MIN(ROUND(P9*8%,0.1),2000),0),0)</f>
        <v>0</v>
      </c>
      <c r="Z9" s="321">
        <f>IF(C9&gt;0,Data!BH218,0)</f>
        <v>0</v>
      </c>
      <c r="AA9" s="322">
        <v>0</v>
      </c>
      <c r="AB9" s="321">
        <f t="shared" si="2"/>
        <v>58795</v>
      </c>
      <c r="AC9" s="326">
        <f>IF(Data!P$23="Yes",0,IF(AB9&gt;=20000,200,IF(AB9&gt;=15000,150,IF(AB9&gt;=10000,100,IF(AB9&gt;=8000,80,0)))))</f>
        <v>0</v>
      </c>
      <c r="AD9" s="327">
        <f t="shared" si="3"/>
        <v>11426</v>
      </c>
      <c r="AE9" s="321">
        <f t="shared" si="4"/>
        <v>0</v>
      </c>
      <c r="AF9" s="321">
        <f t="shared" si="5"/>
        <v>0</v>
      </c>
      <c r="AG9" s="321">
        <f t="shared" si="6"/>
        <v>0</v>
      </c>
      <c r="AH9" s="321">
        <f t="shared" si="7"/>
        <v>0</v>
      </c>
      <c r="AI9" s="321">
        <f t="shared" si="15"/>
        <v>3197</v>
      </c>
      <c r="AJ9" s="321">
        <f t="shared" si="16"/>
        <v>0</v>
      </c>
      <c r="AK9" s="321">
        <f t="shared" si="17"/>
        <v>0</v>
      </c>
      <c r="AL9" s="321">
        <f t="shared" si="18"/>
        <v>0</v>
      </c>
      <c r="AM9" s="321">
        <f t="shared" si="8"/>
        <v>14623</v>
      </c>
      <c r="AN9" s="321">
        <f t="shared" si="9"/>
        <v>0</v>
      </c>
      <c r="AO9" s="321">
        <f>IF(Data!O$11="CPS",(ROUND(C9*10%,0.1)+ROUND(E9*10%,0.1))-(ROUND(P9*10%,0.1)+ROUND(Q9*10%,0.1)),0)</f>
        <v>0</v>
      </c>
      <c r="AP9" s="259">
        <f t="shared" si="19"/>
        <v>14623</v>
      </c>
    </row>
    <row r="10" spans="1:42" s="255" customFormat="1" ht="27.75" customHeight="1">
      <c r="A10" s="329">
        <v>5</v>
      </c>
      <c r="B10" s="320" t="str">
        <f>Data!AM219</f>
        <v>Nov, 2018</v>
      </c>
      <c r="C10" s="321">
        <f>IF(A10&gt;Data!AM$303,0,Data!AV219)</f>
        <v>57220</v>
      </c>
      <c r="D10" s="322">
        <f>IF(C10&gt;0,Data!$L$23+Data!M$24,0)</f>
        <v>35</v>
      </c>
      <c r="E10" s="321">
        <f>ROUND(C10*Data!AW219%,0.1)</f>
        <v>0</v>
      </c>
      <c r="F10" s="322">
        <f t="shared" si="10"/>
        <v>10</v>
      </c>
      <c r="G10" s="321">
        <f t="shared" si="11"/>
        <v>2000</v>
      </c>
      <c r="H10" s="321">
        <f t="shared" si="12"/>
        <v>30</v>
      </c>
      <c r="I10" s="321">
        <f>IF(C10&gt;0,Data!F$23,0)</f>
        <v>390</v>
      </c>
      <c r="J10" s="321">
        <f>IF(C10&gt;0,Data!BB219,0)</f>
        <v>13733</v>
      </c>
      <c r="K10" s="323">
        <f t="shared" si="20"/>
        <v>0</v>
      </c>
      <c r="L10" s="321">
        <f t="shared" si="13"/>
        <v>0</v>
      </c>
      <c r="M10" s="322">
        <v>0</v>
      </c>
      <c r="N10" s="321">
        <f t="shared" si="0"/>
        <v>73418</v>
      </c>
      <c r="O10" s="321">
        <f>IF(Data!P$23="Yes",0,IF(N10&gt;=20000,200,IF(N10&gt;=15000,150,IF(N10&gt;=10000,100,0))))</f>
        <v>0</v>
      </c>
      <c r="P10" s="321">
        <f>IF(C10&gt;0,Data!AU219,0)</f>
        <v>35120</v>
      </c>
      <c r="Q10" s="321">
        <f t="shared" si="14"/>
        <v>10674</v>
      </c>
      <c r="R10" s="321">
        <f t="shared" si="21"/>
        <v>45794</v>
      </c>
      <c r="S10" s="324">
        <f t="shared" si="1"/>
        <v>35</v>
      </c>
      <c r="T10" s="324">
        <f>IF(C10&gt;0,Data!E$27,0)</f>
        <v>10</v>
      </c>
      <c r="U10" s="321">
        <f>IF(Data!P$23="Yes",MIN(ROUND(P10*10%,0.1),2000),0)</f>
        <v>2000</v>
      </c>
      <c r="V10" s="321">
        <f>IF(C10&gt;0,Data!G$28,0)</f>
        <v>30</v>
      </c>
      <c r="W10" s="325">
        <f>IF(C10&gt;0,Data!F$23,0)</f>
        <v>390</v>
      </c>
      <c r="X10" s="321">
        <f>IF(P10&gt;0,Data!AY219,0)</f>
        <v>10536</v>
      </c>
      <c r="Y10" s="325">
        <f>IF(P10&gt;0,IF(Data!J$27="Yes",MIN(ROUND(P10*8%,0.1),2000),0),0)</f>
        <v>0</v>
      </c>
      <c r="Z10" s="321">
        <f>IF(C10&gt;0,Data!BH219,0)</f>
        <v>0</v>
      </c>
      <c r="AA10" s="322">
        <v>0</v>
      </c>
      <c r="AB10" s="321">
        <f t="shared" si="2"/>
        <v>58795</v>
      </c>
      <c r="AC10" s="326">
        <f>IF(Data!P$23="Yes",0,IF(AB10&gt;=20000,200,IF(AB10&gt;=15000,150,IF(AB10&gt;=10000,100,IF(AB10&gt;=8000,80,0)))))</f>
        <v>0</v>
      </c>
      <c r="AD10" s="327">
        <f t="shared" si="3"/>
        <v>11426</v>
      </c>
      <c r="AE10" s="321">
        <f t="shared" si="4"/>
        <v>0</v>
      </c>
      <c r="AF10" s="321">
        <f t="shared" si="5"/>
        <v>0</v>
      </c>
      <c r="AG10" s="321">
        <f t="shared" si="6"/>
        <v>0</v>
      </c>
      <c r="AH10" s="321">
        <f t="shared" si="7"/>
        <v>0</v>
      </c>
      <c r="AI10" s="321">
        <f t="shared" si="15"/>
        <v>3197</v>
      </c>
      <c r="AJ10" s="321">
        <f t="shared" si="16"/>
        <v>0</v>
      </c>
      <c r="AK10" s="321">
        <f t="shared" si="17"/>
        <v>0</v>
      </c>
      <c r="AL10" s="321">
        <f t="shared" si="18"/>
        <v>0</v>
      </c>
      <c r="AM10" s="321">
        <f t="shared" si="8"/>
        <v>14623</v>
      </c>
      <c r="AN10" s="321">
        <f t="shared" si="9"/>
        <v>0</v>
      </c>
      <c r="AO10" s="321">
        <f>IF(Data!O$11="CPS",(ROUND(C10*10%,0.1)+ROUND(E10*10%,0.1))-(ROUND(P10*10%,0.1)+ROUND(Q10*10%,0.1)),0)</f>
        <v>0</v>
      </c>
      <c r="AP10" s="259">
        <f t="shared" si="19"/>
        <v>14623</v>
      </c>
    </row>
    <row r="11" spans="1:42" s="255" customFormat="1" ht="27.75" customHeight="1">
      <c r="A11" s="329">
        <v>6</v>
      </c>
      <c r="B11" s="320" t="str">
        <f>Data!AM220</f>
        <v>Dec, 2018</v>
      </c>
      <c r="C11" s="321">
        <f>IF(A11&gt;Data!AM$303,0,Data!AV220)</f>
        <v>57220</v>
      </c>
      <c r="D11" s="322">
        <f>IF(C11&gt;0,Data!$L$23+Data!M$24,0)</f>
        <v>35</v>
      </c>
      <c r="E11" s="321">
        <f>ROUND(C11*Data!AW220%,0.1)</f>
        <v>0</v>
      </c>
      <c r="F11" s="322">
        <f t="shared" si="10"/>
        <v>10</v>
      </c>
      <c r="G11" s="321">
        <f t="shared" si="11"/>
        <v>2000</v>
      </c>
      <c r="H11" s="321">
        <f t="shared" si="12"/>
        <v>30</v>
      </c>
      <c r="I11" s="321">
        <f>IF(C11&gt;0,Data!F$23,0)</f>
        <v>390</v>
      </c>
      <c r="J11" s="321">
        <f>IF(C11&gt;0,Data!BB220,0)</f>
        <v>13733</v>
      </c>
      <c r="K11" s="323">
        <f t="shared" si="20"/>
        <v>0</v>
      </c>
      <c r="L11" s="321">
        <f t="shared" si="13"/>
        <v>0</v>
      </c>
      <c r="M11" s="322">
        <v>0</v>
      </c>
      <c r="N11" s="321">
        <f t="shared" si="0"/>
        <v>73418</v>
      </c>
      <c r="O11" s="321">
        <f>IF(Data!P$23="Yes",0,IF(N11&gt;=20000,200,IF(N11&gt;=15000,150,IF(N11&gt;=10000,100,0))))</f>
        <v>0</v>
      </c>
      <c r="P11" s="321">
        <f>IF(C11&gt;0,Data!AU220,0)</f>
        <v>35120</v>
      </c>
      <c r="Q11" s="321">
        <f t="shared" si="14"/>
        <v>10674</v>
      </c>
      <c r="R11" s="321">
        <f t="shared" si="21"/>
        <v>45794</v>
      </c>
      <c r="S11" s="324">
        <f t="shared" si="1"/>
        <v>35</v>
      </c>
      <c r="T11" s="324">
        <f>IF(C11&gt;0,Data!E$27,0)</f>
        <v>10</v>
      </c>
      <c r="U11" s="321">
        <f>IF(Data!P$23="Yes",MIN(ROUND(P11*10%,0.1),2000),0)</f>
        <v>2000</v>
      </c>
      <c r="V11" s="321">
        <f>IF(C11&gt;0,Data!G$28,0)</f>
        <v>30</v>
      </c>
      <c r="W11" s="325">
        <f>IF(C11&gt;0,Data!F$23,0)</f>
        <v>390</v>
      </c>
      <c r="X11" s="321">
        <f>IF(P11&gt;0,Data!AY220,0)</f>
        <v>10536</v>
      </c>
      <c r="Y11" s="325">
        <f>IF(P11&gt;0,IF(Data!J$27="Yes",MIN(ROUND(P11*8%,0.1),2000),0),0)</f>
        <v>0</v>
      </c>
      <c r="Z11" s="321">
        <f>IF(C11&gt;0,Data!BH220,0)</f>
        <v>0</v>
      </c>
      <c r="AA11" s="322">
        <v>0</v>
      </c>
      <c r="AB11" s="321">
        <f t="shared" si="2"/>
        <v>58795</v>
      </c>
      <c r="AC11" s="326">
        <f>IF(Data!P$23="Yes",0,IF(AB11&gt;=20000,200,IF(AB11&gt;=15000,150,IF(AB11&gt;=10000,100,IF(AB11&gt;=8000,80,0)))))</f>
        <v>0</v>
      </c>
      <c r="AD11" s="327">
        <f t="shared" si="3"/>
        <v>11426</v>
      </c>
      <c r="AE11" s="321">
        <f t="shared" si="4"/>
        <v>0</v>
      </c>
      <c r="AF11" s="321">
        <f t="shared" si="5"/>
        <v>0</v>
      </c>
      <c r="AG11" s="321">
        <f t="shared" si="6"/>
        <v>0</v>
      </c>
      <c r="AH11" s="321">
        <f t="shared" si="7"/>
        <v>0</v>
      </c>
      <c r="AI11" s="321">
        <f t="shared" si="15"/>
        <v>3197</v>
      </c>
      <c r="AJ11" s="321">
        <f t="shared" si="16"/>
        <v>0</v>
      </c>
      <c r="AK11" s="321">
        <f t="shared" si="17"/>
        <v>0</v>
      </c>
      <c r="AL11" s="321">
        <f t="shared" si="18"/>
        <v>0</v>
      </c>
      <c r="AM11" s="321">
        <f t="shared" si="8"/>
        <v>14623</v>
      </c>
      <c r="AN11" s="321">
        <f t="shared" si="9"/>
        <v>0</v>
      </c>
      <c r="AO11" s="321">
        <f>IF(Data!O$11="CPS",(ROUND(C11*10%,0.1)+ROUND(E11*10%,0.1))-(ROUND(P11*10%,0.1)+ROUND(Q11*10%,0.1)),0)</f>
        <v>0</v>
      </c>
      <c r="AP11" s="259">
        <f t="shared" si="19"/>
        <v>14623</v>
      </c>
    </row>
    <row r="12" spans="1:42" s="255" customFormat="1" ht="27.75" customHeight="1">
      <c r="A12" s="329">
        <v>7</v>
      </c>
      <c r="B12" s="320" t="str">
        <f>Data!AM221</f>
        <v>Jan, 2019</v>
      </c>
      <c r="C12" s="321">
        <f>IF(A12&gt;Data!AM$303,0,Data!AV221)</f>
        <v>57220</v>
      </c>
      <c r="D12" s="322">
        <f>IF(C12&gt;0,Data!$L$23+Data!M$24,0)</f>
        <v>35</v>
      </c>
      <c r="E12" s="321">
        <f t="shared" ref="E12:E17" si="22">ROUND(C12*2.73%,0.1)</f>
        <v>1562</v>
      </c>
      <c r="F12" s="322">
        <f t="shared" si="10"/>
        <v>10</v>
      </c>
      <c r="G12" s="321">
        <f t="shared" si="11"/>
        <v>2000</v>
      </c>
      <c r="H12" s="321">
        <f t="shared" si="12"/>
        <v>30</v>
      </c>
      <c r="I12" s="321">
        <f>IF(C12&gt;0,Data!F$23,0)</f>
        <v>390</v>
      </c>
      <c r="J12" s="321">
        <f>IF(C12&gt;0,Data!BB221,0)</f>
        <v>13733</v>
      </c>
      <c r="K12" s="323">
        <f t="shared" si="20"/>
        <v>0</v>
      </c>
      <c r="L12" s="321">
        <f t="shared" si="13"/>
        <v>0</v>
      </c>
      <c r="M12" s="322">
        <v>0</v>
      </c>
      <c r="N12" s="321">
        <f t="shared" si="0"/>
        <v>74980</v>
      </c>
      <c r="O12" s="321">
        <f>IF(Data!P$23="Yes",0,IF(N12&gt;=20000,200,IF(N12&gt;=15000,150,IF(N12&gt;=10000,100,0))))</f>
        <v>0</v>
      </c>
      <c r="P12" s="321">
        <f>IF(C12&gt;0,Data!AU221,0)</f>
        <v>35120</v>
      </c>
      <c r="Q12" s="321">
        <f>ROUND(P12*33.536%,0.1)</f>
        <v>11778</v>
      </c>
      <c r="R12" s="321">
        <f t="shared" si="21"/>
        <v>46898</v>
      </c>
      <c r="S12" s="324">
        <f t="shared" si="1"/>
        <v>35</v>
      </c>
      <c r="T12" s="324">
        <f>IF(C12&gt;0,Data!E$27,0)</f>
        <v>10</v>
      </c>
      <c r="U12" s="321">
        <f>IF(Data!P$23="Yes",MIN(ROUND(P12*10%,0.1),2000),0)</f>
        <v>2000</v>
      </c>
      <c r="V12" s="321">
        <f>IF(C12&gt;0,Data!G$28,0)</f>
        <v>30</v>
      </c>
      <c r="W12" s="325">
        <f>IF(C12&gt;0,Data!F$23,0)</f>
        <v>390</v>
      </c>
      <c r="X12" s="321">
        <f>IF(P12&gt;0,Data!AY221,0)</f>
        <v>10536</v>
      </c>
      <c r="Y12" s="325">
        <f>IF(P12&gt;0,IF(Data!J$27="Yes",MIN(ROUND(P12*8%,0.1),2000),0),0)</f>
        <v>0</v>
      </c>
      <c r="Z12" s="321">
        <f>IF(C12&gt;0,Data!BH221,0)</f>
        <v>0</v>
      </c>
      <c r="AA12" s="322">
        <v>0</v>
      </c>
      <c r="AB12" s="321">
        <f t="shared" si="2"/>
        <v>59899</v>
      </c>
      <c r="AC12" s="326">
        <f>IF(Data!P$23="Yes",0,IF(AB12&gt;=20000,200,IF(AB12&gt;=15000,150,IF(AB12&gt;=10000,100,IF(AB12&gt;=8000,80,0)))))</f>
        <v>0</v>
      </c>
      <c r="AD12" s="327">
        <f t="shared" si="3"/>
        <v>10322</v>
      </c>
      <c r="AE12" s="321">
        <f t="shared" si="4"/>
        <v>1562</v>
      </c>
      <c r="AF12" s="321">
        <f t="shared" si="5"/>
        <v>0</v>
      </c>
      <c r="AG12" s="321">
        <f t="shared" si="6"/>
        <v>0</v>
      </c>
      <c r="AH12" s="321">
        <f t="shared" si="7"/>
        <v>0</v>
      </c>
      <c r="AI12" s="321">
        <f t="shared" si="15"/>
        <v>3197</v>
      </c>
      <c r="AJ12" s="321">
        <f t="shared" si="16"/>
        <v>0</v>
      </c>
      <c r="AK12" s="321">
        <f t="shared" si="17"/>
        <v>0</v>
      </c>
      <c r="AL12" s="321">
        <f t="shared" si="18"/>
        <v>0</v>
      </c>
      <c r="AM12" s="321">
        <f t="shared" si="8"/>
        <v>15081</v>
      </c>
      <c r="AN12" s="321">
        <f t="shared" si="9"/>
        <v>0</v>
      </c>
      <c r="AO12" s="321">
        <f>IF(Data!O$11="CPS",(ROUND(C12*10%,0.1)+ROUND(E12*10%,0.1))-(ROUND(P12*10%,0.1)+ROUND(Q12*10%,0.1)),0)</f>
        <v>0</v>
      </c>
      <c r="AP12" s="259">
        <f t="shared" si="19"/>
        <v>15081</v>
      </c>
    </row>
    <row r="13" spans="1:42" s="255" customFormat="1" ht="27.75" customHeight="1">
      <c r="A13" s="329">
        <v>8</v>
      </c>
      <c r="B13" s="320" t="str">
        <f>Data!AM222</f>
        <v>Feb, 2019</v>
      </c>
      <c r="C13" s="321">
        <f>IF(A13&gt;Data!AM$303,0,Data!AV222)</f>
        <v>57220</v>
      </c>
      <c r="D13" s="322">
        <f>IF(C13&gt;0,Data!$L$23+Data!M$24,0)</f>
        <v>35</v>
      </c>
      <c r="E13" s="321">
        <f t="shared" si="22"/>
        <v>1562</v>
      </c>
      <c r="F13" s="322">
        <f t="shared" si="10"/>
        <v>10</v>
      </c>
      <c r="G13" s="321">
        <f t="shared" si="11"/>
        <v>2000</v>
      </c>
      <c r="H13" s="321">
        <f>V13</f>
        <v>30</v>
      </c>
      <c r="I13" s="321">
        <f>IF(C13&gt;0,Data!F$23,0)</f>
        <v>390</v>
      </c>
      <c r="J13" s="321">
        <f>IF(C13&gt;0,Data!BB222,0)</f>
        <v>13733</v>
      </c>
      <c r="K13" s="323">
        <f t="shared" si="20"/>
        <v>0</v>
      </c>
      <c r="L13" s="321">
        <f t="shared" si="13"/>
        <v>0</v>
      </c>
      <c r="M13" s="322">
        <v>0</v>
      </c>
      <c r="N13" s="321">
        <f t="shared" si="0"/>
        <v>74980</v>
      </c>
      <c r="O13" s="321">
        <f>IF(Data!P$23="Yes",0,IF(N13&gt;=20000,200,IF(N13&gt;=15000,150,IF(N13&gt;=10000,100,0))))</f>
        <v>0</v>
      </c>
      <c r="P13" s="321">
        <f>IF(C13&gt;0,Data!AU222,0)</f>
        <v>35120</v>
      </c>
      <c r="Q13" s="321">
        <f t="shared" ref="Q13:Q17" si="23">ROUND(P13*33.536%,0.1)</f>
        <v>11778</v>
      </c>
      <c r="R13" s="321">
        <f t="shared" si="21"/>
        <v>46898</v>
      </c>
      <c r="S13" s="324">
        <f t="shared" si="1"/>
        <v>35</v>
      </c>
      <c r="T13" s="324">
        <f>IF(C13&gt;0,Data!E$27,0)</f>
        <v>10</v>
      </c>
      <c r="U13" s="321">
        <f>IF(Data!P$23="Yes",MIN(ROUND(P13*10%,0.1),2000),0)</f>
        <v>2000</v>
      </c>
      <c r="V13" s="321">
        <f>IF(C13&gt;0,Data!G$28,0)</f>
        <v>30</v>
      </c>
      <c r="W13" s="325">
        <f>IF(C13&gt;0,Data!F$23,0)</f>
        <v>390</v>
      </c>
      <c r="X13" s="321">
        <f>IF(P13&gt;0,Data!AY222,0)</f>
        <v>10536</v>
      </c>
      <c r="Y13" s="325">
        <f>IF(P13&gt;0,IF(Data!J$27="Yes",MIN(ROUND(P13*8%,0.1),2000),0),0)</f>
        <v>0</v>
      </c>
      <c r="Z13" s="321">
        <f>IF(C13&gt;0,Data!BH222,0)</f>
        <v>0</v>
      </c>
      <c r="AA13" s="322">
        <f>M13</f>
        <v>0</v>
      </c>
      <c r="AB13" s="321">
        <f t="shared" si="2"/>
        <v>59899</v>
      </c>
      <c r="AC13" s="326">
        <f>IF(Data!P$23="Yes",0,IF(AB13&gt;=20000,200,IF(AB13&gt;=15000,150,IF(AB13&gt;=10000,100,IF(AB13&gt;=8000,80,0)))))</f>
        <v>0</v>
      </c>
      <c r="AD13" s="327">
        <f t="shared" si="3"/>
        <v>10322</v>
      </c>
      <c r="AE13" s="321">
        <f t="shared" si="4"/>
        <v>1562</v>
      </c>
      <c r="AF13" s="321">
        <f t="shared" si="5"/>
        <v>0</v>
      </c>
      <c r="AG13" s="321">
        <f t="shared" si="6"/>
        <v>0</v>
      </c>
      <c r="AH13" s="321">
        <f t="shared" si="7"/>
        <v>0</v>
      </c>
      <c r="AI13" s="321">
        <f t="shared" si="15"/>
        <v>3197</v>
      </c>
      <c r="AJ13" s="321">
        <f t="shared" si="16"/>
        <v>0</v>
      </c>
      <c r="AK13" s="321">
        <f t="shared" si="17"/>
        <v>0</v>
      </c>
      <c r="AL13" s="321">
        <f t="shared" si="18"/>
        <v>0</v>
      </c>
      <c r="AM13" s="321">
        <f t="shared" si="8"/>
        <v>15081</v>
      </c>
      <c r="AN13" s="321">
        <f t="shared" si="9"/>
        <v>0</v>
      </c>
      <c r="AO13" s="321">
        <f>IF(Data!O$11="CPS",(ROUND(C13*10%,0.1)+ROUND(E13*10%,0.1))-(ROUND(P13*10%,0.1)+ROUND(Q13*10%,0.1)),0)</f>
        <v>0</v>
      </c>
      <c r="AP13" s="259">
        <f t="shared" si="19"/>
        <v>15081</v>
      </c>
    </row>
    <row r="14" spans="1:42" s="255" customFormat="1" ht="27.75" customHeight="1">
      <c r="A14" s="329">
        <v>9</v>
      </c>
      <c r="B14" s="320" t="str">
        <f>Data!AM223</f>
        <v>Mar, 2019</v>
      </c>
      <c r="C14" s="321">
        <f>IF(A14&gt;Data!AM$303,0,Data!AV223)</f>
        <v>57220</v>
      </c>
      <c r="D14" s="322">
        <f>IF(C14&gt;0,Data!$L$23+Data!M$24,0)</f>
        <v>35</v>
      </c>
      <c r="E14" s="321">
        <f t="shared" si="22"/>
        <v>1562</v>
      </c>
      <c r="F14" s="322">
        <f t="shared" si="10"/>
        <v>10</v>
      </c>
      <c r="G14" s="321">
        <f t="shared" si="11"/>
        <v>2000</v>
      </c>
      <c r="H14" s="321">
        <f t="shared" si="12"/>
        <v>30</v>
      </c>
      <c r="I14" s="321">
        <f>IF(C14&gt;0,Data!F$23,0)</f>
        <v>390</v>
      </c>
      <c r="J14" s="321">
        <f>IF(C14&gt;0,Data!BB223,0)</f>
        <v>13733</v>
      </c>
      <c r="K14" s="323">
        <f t="shared" si="20"/>
        <v>0</v>
      </c>
      <c r="L14" s="321">
        <f t="shared" si="13"/>
        <v>0</v>
      </c>
      <c r="M14" s="322">
        <v>0</v>
      </c>
      <c r="N14" s="321">
        <f t="shared" si="0"/>
        <v>74980</v>
      </c>
      <c r="O14" s="321">
        <f>IF(Data!P$23="Yes",0,IF(N14&gt;=20000,200,IF(N14&gt;=15000,150,IF(N14&gt;=10000,100,0))))</f>
        <v>0</v>
      </c>
      <c r="P14" s="321">
        <f>IF(C14&gt;0,Data!AU223,0)</f>
        <v>35120</v>
      </c>
      <c r="Q14" s="321">
        <f t="shared" si="23"/>
        <v>11778</v>
      </c>
      <c r="R14" s="321">
        <f t="shared" si="21"/>
        <v>46898</v>
      </c>
      <c r="S14" s="324">
        <f t="shared" si="1"/>
        <v>35</v>
      </c>
      <c r="T14" s="324">
        <f>IF(C14&gt;0,Data!E$27,0)</f>
        <v>10</v>
      </c>
      <c r="U14" s="321">
        <f>IF(Data!P$23="Yes",MIN(ROUND(P14*10%,0.1),2000),0)</f>
        <v>2000</v>
      </c>
      <c r="V14" s="321">
        <f>IF(C14&gt;0,Data!G$28,0)</f>
        <v>30</v>
      </c>
      <c r="W14" s="325">
        <f>IF(C14&gt;0,Data!F$23,0)</f>
        <v>390</v>
      </c>
      <c r="X14" s="321">
        <f>IF(P14&gt;0,Data!AY223,0)</f>
        <v>10536</v>
      </c>
      <c r="Y14" s="325">
        <f>IF(P14&gt;0,IF(Data!J$27="Yes",MIN(ROUND(P14*8%,0.1),2000),0),0)</f>
        <v>0</v>
      </c>
      <c r="Z14" s="321">
        <f>IF(C14&gt;0,Data!BH223,0)</f>
        <v>0</v>
      </c>
      <c r="AA14" s="322">
        <v>0</v>
      </c>
      <c r="AB14" s="321">
        <f t="shared" si="2"/>
        <v>59899</v>
      </c>
      <c r="AC14" s="326">
        <f>IF(Data!P$23="Yes",0,IF(AB14&gt;=20000,200,IF(AB14&gt;=15000,150,IF(AB14&gt;=10000,100,IF(AB14&gt;=8000,80,0)))))</f>
        <v>0</v>
      </c>
      <c r="AD14" s="327">
        <f t="shared" si="3"/>
        <v>10322</v>
      </c>
      <c r="AE14" s="321">
        <f t="shared" si="4"/>
        <v>1562</v>
      </c>
      <c r="AF14" s="321">
        <f t="shared" si="5"/>
        <v>0</v>
      </c>
      <c r="AG14" s="321">
        <f t="shared" si="6"/>
        <v>0</v>
      </c>
      <c r="AH14" s="321">
        <f t="shared" si="7"/>
        <v>0</v>
      </c>
      <c r="AI14" s="321">
        <f t="shared" si="15"/>
        <v>3197</v>
      </c>
      <c r="AJ14" s="321">
        <f t="shared" si="16"/>
        <v>0</v>
      </c>
      <c r="AK14" s="321">
        <f t="shared" si="17"/>
        <v>0</v>
      </c>
      <c r="AL14" s="321">
        <f t="shared" si="18"/>
        <v>0</v>
      </c>
      <c r="AM14" s="321">
        <f t="shared" si="8"/>
        <v>15081</v>
      </c>
      <c r="AN14" s="321">
        <f t="shared" si="9"/>
        <v>0</v>
      </c>
      <c r="AO14" s="321">
        <f>IF(Data!O$11="CPS",(ROUND(C14*10%,0.1)+ROUND(E14*10%,0.1))-(ROUND(P14*10%,0.1)+ROUND(Q14*10%,0.1)),0)</f>
        <v>0</v>
      </c>
      <c r="AP14" s="259">
        <f t="shared" si="19"/>
        <v>15081</v>
      </c>
    </row>
    <row r="15" spans="1:42" s="255" customFormat="1" ht="27.75" customHeight="1">
      <c r="A15" s="329">
        <v>10</v>
      </c>
      <c r="B15" s="320" t="str">
        <f>Data!AM224</f>
        <v>Apr, 2019</v>
      </c>
      <c r="C15" s="321">
        <f>IF(A15&gt;Data!AM$303,0,Data!AV224)</f>
        <v>57220</v>
      </c>
      <c r="D15" s="322">
        <f>IF(C15&gt;0,Data!$L$23+Data!M$24,0)</f>
        <v>35</v>
      </c>
      <c r="E15" s="321">
        <f t="shared" si="22"/>
        <v>1562</v>
      </c>
      <c r="F15" s="322">
        <f t="shared" si="10"/>
        <v>10</v>
      </c>
      <c r="G15" s="321">
        <f t="shared" si="11"/>
        <v>2000</v>
      </c>
      <c r="H15" s="321">
        <f t="shared" si="12"/>
        <v>30</v>
      </c>
      <c r="I15" s="321">
        <f>IF(C15&gt;0,Data!F$23,0)</f>
        <v>390</v>
      </c>
      <c r="J15" s="321">
        <f>IF(C15&gt;0,Data!BB224,0)</f>
        <v>13733</v>
      </c>
      <c r="K15" s="323">
        <f t="shared" si="20"/>
        <v>0</v>
      </c>
      <c r="L15" s="321">
        <f t="shared" si="13"/>
        <v>0</v>
      </c>
      <c r="M15" s="322">
        <v>0</v>
      </c>
      <c r="N15" s="321">
        <f t="shared" si="0"/>
        <v>74980</v>
      </c>
      <c r="O15" s="321">
        <f>IF(Data!P$23="Yes",0,IF(N15&gt;=20000,200,IF(N15&gt;=15000,150,IF(N15&gt;=10000,100,0))))</f>
        <v>0</v>
      </c>
      <c r="P15" s="321">
        <f>IF(C15&gt;0,Data!AU224,0)</f>
        <v>35120</v>
      </c>
      <c r="Q15" s="321">
        <f t="shared" si="23"/>
        <v>11778</v>
      </c>
      <c r="R15" s="321">
        <f t="shared" si="21"/>
        <v>46898</v>
      </c>
      <c r="S15" s="324">
        <f t="shared" si="1"/>
        <v>35</v>
      </c>
      <c r="T15" s="324">
        <f>IF(C15&gt;0,Data!E$27,0)</f>
        <v>10</v>
      </c>
      <c r="U15" s="321">
        <f>IF(Data!P$23="Yes",MIN(ROUND(P15*10%,0.1),2000),0)</f>
        <v>2000</v>
      </c>
      <c r="V15" s="321">
        <f>IF(C15&gt;0,Data!G$28,0)</f>
        <v>30</v>
      </c>
      <c r="W15" s="325">
        <f>IF(C15&gt;0,Data!F$23,0)</f>
        <v>390</v>
      </c>
      <c r="X15" s="321">
        <f>IF(P15&gt;0,Data!AY224,0)</f>
        <v>10536</v>
      </c>
      <c r="Y15" s="325">
        <f>IF(P15&gt;0,IF(Data!J$27="Yes",MIN(ROUND(P15*8%,0.1),2000),0),0)</f>
        <v>0</v>
      </c>
      <c r="Z15" s="321">
        <f>IF(C15&gt;0,Data!BH224,0)</f>
        <v>0</v>
      </c>
      <c r="AA15" s="322">
        <v>0</v>
      </c>
      <c r="AB15" s="321">
        <f t="shared" si="2"/>
        <v>59899</v>
      </c>
      <c r="AC15" s="326">
        <f>IF(Data!P$23="Yes",0,IF(AB15&gt;=20000,200,IF(AB15&gt;=15000,150,IF(AB15&gt;=10000,100,IF(AB15&gt;=8000,80,0)))))</f>
        <v>0</v>
      </c>
      <c r="AD15" s="327">
        <f t="shared" si="3"/>
        <v>10322</v>
      </c>
      <c r="AE15" s="321">
        <f t="shared" si="4"/>
        <v>1562</v>
      </c>
      <c r="AF15" s="321">
        <f t="shared" si="5"/>
        <v>0</v>
      </c>
      <c r="AG15" s="321">
        <f t="shared" si="6"/>
        <v>0</v>
      </c>
      <c r="AH15" s="321">
        <f t="shared" si="7"/>
        <v>0</v>
      </c>
      <c r="AI15" s="321">
        <f t="shared" si="15"/>
        <v>3197</v>
      </c>
      <c r="AJ15" s="321">
        <f t="shared" si="16"/>
        <v>0</v>
      </c>
      <c r="AK15" s="321">
        <f t="shared" si="17"/>
        <v>0</v>
      </c>
      <c r="AL15" s="321">
        <f t="shared" si="18"/>
        <v>0</v>
      </c>
      <c r="AM15" s="321">
        <f t="shared" si="8"/>
        <v>15081</v>
      </c>
      <c r="AN15" s="321">
        <f t="shared" si="9"/>
        <v>0</v>
      </c>
      <c r="AO15" s="321">
        <f>IF(Data!O$11="CPS",(ROUND(C15*10%,0.1)+ROUND(E15*10%,0.1))-(ROUND(P15*10%,0.1)+ROUND(Q15*10%,0.1)),0)</f>
        <v>0</v>
      </c>
      <c r="AP15" s="259">
        <f t="shared" si="19"/>
        <v>15081</v>
      </c>
    </row>
    <row r="16" spans="1:42" s="255" customFormat="1" ht="27.75" customHeight="1">
      <c r="A16" s="329">
        <v>11</v>
      </c>
      <c r="B16" s="320" t="str">
        <f>Data!AM225</f>
        <v>May, 2019</v>
      </c>
      <c r="C16" s="321">
        <f>IF(A16&gt;Data!AM$303,0,Data!AV225)</f>
        <v>57220</v>
      </c>
      <c r="D16" s="322">
        <f>IF(C16&gt;0,Data!$L$23+Data!M$24,0)</f>
        <v>35</v>
      </c>
      <c r="E16" s="321">
        <f t="shared" si="22"/>
        <v>1562</v>
      </c>
      <c r="F16" s="322">
        <f t="shared" si="10"/>
        <v>10</v>
      </c>
      <c r="G16" s="321">
        <f t="shared" si="11"/>
        <v>2000</v>
      </c>
      <c r="H16" s="321">
        <f t="shared" si="12"/>
        <v>30</v>
      </c>
      <c r="I16" s="321">
        <f>IF(C16&gt;0,Data!F$23,0)</f>
        <v>390</v>
      </c>
      <c r="J16" s="321">
        <f>IF(C16&gt;0,Data!BB225,0)</f>
        <v>13733</v>
      </c>
      <c r="K16" s="323">
        <f t="shared" si="20"/>
        <v>0</v>
      </c>
      <c r="L16" s="321">
        <f t="shared" si="13"/>
        <v>0</v>
      </c>
      <c r="M16" s="322">
        <v>0</v>
      </c>
      <c r="N16" s="321">
        <f t="shared" si="0"/>
        <v>74980</v>
      </c>
      <c r="O16" s="321">
        <f>IF(Data!P$23="Yes",0,IF(N16&gt;=20000,200,IF(N16&gt;=15000,150,IF(N16&gt;=10000,100,0))))</f>
        <v>0</v>
      </c>
      <c r="P16" s="321">
        <f>IF(C16&gt;0,Data!AU225,0)</f>
        <v>35120</v>
      </c>
      <c r="Q16" s="321">
        <f t="shared" si="23"/>
        <v>11778</v>
      </c>
      <c r="R16" s="321">
        <f t="shared" si="21"/>
        <v>46898</v>
      </c>
      <c r="S16" s="324">
        <f t="shared" si="1"/>
        <v>35</v>
      </c>
      <c r="T16" s="324">
        <f>IF(C16&gt;0,Data!E$27,0)</f>
        <v>10</v>
      </c>
      <c r="U16" s="321">
        <f>IF(Data!P$23="Yes",MIN(ROUND(P16*10%,0.1),2000),0)</f>
        <v>2000</v>
      </c>
      <c r="V16" s="321">
        <f>IF(C16&gt;0,Data!G$28,0)</f>
        <v>30</v>
      </c>
      <c r="W16" s="325">
        <f>IF(C16&gt;0,Data!F$23,0)</f>
        <v>390</v>
      </c>
      <c r="X16" s="321">
        <f>IF(P16&gt;0,Data!AY225,0)</f>
        <v>10536</v>
      </c>
      <c r="Y16" s="325">
        <f>IF(P16&gt;0,IF(Data!J$27="Yes",MIN(ROUND(P16*8%,0.1),2000),0),0)</f>
        <v>0</v>
      </c>
      <c r="Z16" s="321">
        <f>IF(C16&gt;0,Data!BH225,0)</f>
        <v>0</v>
      </c>
      <c r="AA16" s="322">
        <v>0</v>
      </c>
      <c r="AB16" s="321">
        <f t="shared" si="2"/>
        <v>59899</v>
      </c>
      <c r="AC16" s="326">
        <f>IF(Data!P$23="Yes",0,IF(AB16&gt;=20000,200,IF(AB16&gt;=15000,150,IF(AB16&gt;=10000,100,IF(AB16&gt;=8000,80,0)))))</f>
        <v>0</v>
      </c>
      <c r="AD16" s="327">
        <f t="shared" si="3"/>
        <v>10322</v>
      </c>
      <c r="AE16" s="321">
        <f t="shared" si="4"/>
        <v>1562</v>
      </c>
      <c r="AF16" s="321">
        <f t="shared" si="5"/>
        <v>0</v>
      </c>
      <c r="AG16" s="321">
        <f t="shared" si="6"/>
        <v>0</v>
      </c>
      <c r="AH16" s="321">
        <f t="shared" si="7"/>
        <v>0</v>
      </c>
      <c r="AI16" s="321">
        <f t="shared" si="15"/>
        <v>3197</v>
      </c>
      <c r="AJ16" s="321">
        <f t="shared" si="16"/>
        <v>0</v>
      </c>
      <c r="AK16" s="321">
        <f t="shared" si="17"/>
        <v>0</v>
      </c>
      <c r="AL16" s="321">
        <f t="shared" si="18"/>
        <v>0</v>
      </c>
      <c r="AM16" s="321">
        <f t="shared" si="8"/>
        <v>15081</v>
      </c>
      <c r="AN16" s="321">
        <f t="shared" si="9"/>
        <v>0</v>
      </c>
      <c r="AO16" s="321">
        <f>IF(Data!O$11="CPS",(ROUND(C16*10%,0.1)+ROUND(E16*10%,0.1))-(ROUND(P16*10%,0.1)+ROUND(Q16*10%,0.1)),0)</f>
        <v>0</v>
      </c>
      <c r="AP16" s="259">
        <f t="shared" si="19"/>
        <v>15081</v>
      </c>
    </row>
    <row r="17" spans="1:42" s="255" customFormat="1" ht="27.75" customHeight="1">
      <c r="A17" s="329">
        <v>12</v>
      </c>
      <c r="B17" s="320" t="str">
        <f>Data!AM226</f>
        <v>Jun, 2019</v>
      </c>
      <c r="C17" s="321">
        <f>IF(A17&gt;Data!AM$303,0,Data!AV226)</f>
        <v>57220</v>
      </c>
      <c r="D17" s="322">
        <f>IF(C17&gt;0,Data!$L$23+Data!M$24,0)</f>
        <v>35</v>
      </c>
      <c r="E17" s="321">
        <f t="shared" si="22"/>
        <v>1562</v>
      </c>
      <c r="F17" s="322">
        <f t="shared" si="10"/>
        <v>10</v>
      </c>
      <c r="G17" s="321">
        <f t="shared" si="11"/>
        <v>2000</v>
      </c>
      <c r="H17" s="321">
        <f t="shared" si="12"/>
        <v>30</v>
      </c>
      <c r="I17" s="321">
        <f>IF(C17&gt;0,Data!F$23,0)</f>
        <v>390</v>
      </c>
      <c r="J17" s="321">
        <f>IF(C17&gt;0,Data!BB226,0)</f>
        <v>13733</v>
      </c>
      <c r="K17" s="323">
        <f t="shared" si="20"/>
        <v>0</v>
      </c>
      <c r="L17" s="321">
        <f t="shared" si="13"/>
        <v>0</v>
      </c>
      <c r="M17" s="322">
        <v>0</v>
      </c>
      <c r="N17" s="321">
        <f t="shared" si="0"/>
        <v>74980</v>
      </c>
      <c r="O17" s="321">
        <f>IF(Data!P$23="Yes",0,IF(N17&gt;=20000,200,IF(N17&gt;=15000,150,IF(N17&gt;=10000,100,0))))</f>
        <v>0</v>
      </c>
      <c r="P17" s="321">
        <f>IF(C17&gt;0,Data!AU226,0)</f>
        <v>35120</v>
      </c>
      <c r="Q17" s="321">
        <f t="shared" si="23"/>
        <v>11778</v>
      </c>
      <c r="R17" s="321">
        <f t="shared" si="21"/>
        <v>46898</v>
      </c>
      <c r="S17" s="324">
        <f t="shared" si="1"/>
        <v>35</v>
      </c>
      <c r="T17" s="324">
        <f>IF(C17&gt;0,Data!E$27,0)</f>
        <v>10</v>
      </c>
      <c r="U17" s="321">
        <f>IF(Data!P$23="Yes",MIN(ROUND(P17*10%,0.1),2000),0)</f>
        <v>2000</v>
      </c>
      <c r="V17" s="321">
        <f>IF(C17&gt;0,Data!G$28,0)</f>
        <v>30</v>
      </c>
      <c r="W17" s="325">
        <f>IF(C17&gt;0,Data!F$23,0)</f>
        <v>390</v>
      </c>
      <c r="X17" s="321">
        <f>IF(P17&gt;0,Data!AY226,0)</f>
        <v>10536</v>
      </c>
      <c r="Y17" s="325">
        <f>IF(P17&gt;0,IF(Data!J$27="Yes",MIN(ROUND(P17*8%,0.1),2000),0),0)</f>
        <v>0</v>
      </c>
      <c r="Z17" s="321">
        <f>IF(C17&gt;0,Data!BH226,0)</f>
        <v>0</v>
      </c>
      <c r="AA17" s="322">
        <v>0</v>
      </c>
      <c r="AB17" s="321">
        <f t="shared" si="2"/>
        <v>59899</v>
      </c>
      <c r="AC17" s="326">
        <f>IF(Data!P$23="Yes",0,IF(AB17&gt;=20000,200,IF(AB17&gt;=15000,150,IF(AB17&gt;=10000,100,IF(AB17&gt;=8000,80,0)))))</f>
        <v>0</v>
      </c>
      <c r="AD17" s="327">
        <f t="shared" si="3"/>
        <v>10322</v>
      </c>
      <c r="AE17" s="321">
        <f t="shared" si="4"/>
        <v>1562</v>
      </c>
      <c r="AF17" s="321">
        <f t="shared" si="5"/>
        <v>0</v>
      </c>
      <c r="AG17" s="321">
        <f t="shared" si="6"/>
        <v>0</v>
      </c>
      <c r="AH17" s="321">
        <f t="shared" si="7"/>
        <v>0</v>
      </c>
      <c r="AI17" s="321">
        <f t="shared" si="15"/>
        <v>3197</v>
      </c>
      <c r="AJ17" s="321">
        <f t="shared" si="16"/>
        <v>0</v>
      </c>
      <c r="AK17" s="321">
        <f t="shared" si="17"/>
        <v>0</v>
      </c>
      <c r="AL17" s="321">
        <f t="shared" si="18"/>
        <v>0</v>
      </c>
      <c r="AM17" s="321">
        <f t="shared" si="8"/>
        <v>15081</v>
      </c>
      <c r="AN17" s="321">
        <f t="shared" si="9"/>
        <v>0</v>
      </c>
      <c r="AO17" s="321">
        <f>IF(Data!O$11="CPS",(ROUND(C17*10%,0.1)+ROUND(E17*10%,0.1))-(ROUND(P17*10%,0.1)+ROUND(Q17*10%,0.1)),0)</f>
        <v>0</v>
      </c>
      <c r="AP17" s="259">
        <f t="shared" si="19"/>
        <v>15081</v>
      </c>
    </row>
    <row r="18" spans="1:42" s="255" customFormat="1" ht="27.75" customHeight="1">
      <c r="A18" s="319">
        <v>13</v>
      </c>
      <c r="B18" s="320" t="str">
        <f>Data!AM227</f>
        <v>Jul, 2019</v>
      </c>
      <c r="C18" s="321">
        <f>IF(A18&gt;Data!AM$303,0,Data!AV227)</f>
        <v>57220</v>
      </c>
      <c r="D18" s="322">
        <f>IF(C18&gt;0,Data!$L$23+Data!M$24,0)</f>
        <v>35</v>
      </c>
      <c r="E18" s="321">
        <f t="shared" ref="E18:E26" si="24">ROUND(C18*7.28%,0.1)</f>
        <v>4166</v>
      </c>
      <c r="F18" s="322">
        <f t="shared" si="10"/>
        <v>10</v>
      </c>
      <c r="G18" s="321">
        <f t="shared" si="11"/>
        <v>2000</v>
      </c>
      <c r="H18" s="321">
        <f t="shared" si="12"/>
        <v>30</v>
      </c>
      <c r="I18" s="321">
        <f>IF(C18&gt;0,Data!F$23,0)</f>
        <v>390</v>
      </c>
      <c r="J18" s="321">
        <f>IF(C18&gt;0,Data!BB227,0)</f>
        <v>13733</v>
      </c>
      <c r="K18" s="323">
        <f t="shared" si="20"/>
        <v>0</v>
      </c>
      <c r="L18" s="321">
        <f t="shared" si="13"/>
        <v>0</v>
      </c>
      <c r="M18" s="322">
        <v>0</v>
      </c>
      <c r="N18" s="321">
        <f t="shared" si="0"/>
        <v>77584</v>
      </c>
      <c r="O18" s="321">
        <f>IF(Data!P$23="Yes",0,IF(N18&gt;=20000,200,IF(N18&gt;=15000,150,IF(N18&gt;=10000,100,0))))</f>
        <v>0</v>
      </c>
      <c r="P18" s="321">
        <f>IF(C18&gt;0,Data!AU227,0)</f>
        <v>35120</v>
      </c>
      <c r="Q18" s="321">
        <f>ROUND(P18*38.776%,0.1)</f>
        <v>13618</v>
      </c>
      <c r="R18" s="321">
        <f t="shared" si="21"/>
        <v>48738</v>
      </c>
      <c r="S18" s="324">
        <f t="shared" si="1"/>
        <v>35</v>
      </c>
      <c r="T18" s="324">
        <f>IF(C18&gt;0,Data!E$27,0)</f>
        <v>10</v>
      </c>
      <c r="U18" s="321">
        <f>IF(Data!P$23="Yes",MIN(ROUND(P18*10%,0.1),2000),0)</f>
        <v>2000</v>
      </c>
      <c r="V18" s="321">
        <f>IF(C18&gt;0,Data!G$28,0)</f>
        <v>30</v>
      </c>
      <c r="W18" s="325">
        <f>IF(C18&gt;0,Data!F$23,0)</f>
        <v>390</v>
      </c>
      <c r="X18" s="321">
        <f>IF(P18&gt;0,Data!AY227,0)</f>
        <v>10536</v>
      </c>
      <c r="Y18" s="325">
        <f>IF(P18&gt;0,IF(Data!J$27="Yes",MIN(ROUND(P18*8%,0.1),2000),0),0)</f>
        <v>0</v>
      </c>
      <c r="Z18" s="321">
        <f>IF(C18&gt;0,Data!BH227,0)</f>
        <v>0</v>
      </c>
      <c r="AA18" s="322">
        <v>0</v>
      </c>
      <c r="AB18" s="321">
        <f t="shared" si="2"/>
        <v>61739</v>
      </c>
      <c r="AC18" s="326">
        <f>IF(Data!P$23="Yes",0,IF(AB18&gt;=20000,200,IF(AB18&gt;=15000,150,IF(AB18&gt;=10000,100,IF(AB18&gt;=8000,80,0)))))</f>
        <v>0</v>
      </c>
      <c r="AD18" s="327">
        <f t="shared" si="3"/>
        <v>8482</v>
      </c>
      <c r="AE18" s="321">
        <f t="shared" si="4"/>
        <v>4166</v>
      </c>
      <c r="AF18" s="321">
        <f t="shared" si="5"/>
        <v>0</v>
      </c>
      <c r="AG18" s="321">
        <f t="shared" si="6"/>
        <v>0</v>
      </c>
      <c r="AH18" s="321">
        <f t="shared" si="7"/>
        <v>0</v>
      </c>
      <c r="AI18" s="321">
        <f t="shared" si="15"/>
        <v>3197</v>
      </c>
      <c r="AJ18" s="321">
        <f t="shared" si="16"/>
        <v>0</v>
      </c>
      <c r="AK18" s="321">
        <f t="shared" si="17"/>
        <v>0</v>
      </c>
      <c r="AL18" s="321">
        <f t="shared" si="18"/>
        <v>0</v>
      </c>
      <c r="AM18" s="321">
        <f t="shared" si="8"/>
        <v>15845</v>
      </c>
      <c r="AN18" s="321">
        <f t="shared" si="9"/>
        <v>0</v>
      </c>
      <c r="AO18" s="321">
        <f>IF(Data!O$11="CPS",(ROUND(C18*10%,0.1)+ROUND(E18*10%,0.1))-(ROUND(P18*10%,0.1)+ROUND(Q18*10%,0.1)),0)</f>
        <v>0</v>
      </c>
      <c r="AP18" s="259">
        <f t="shared" si="19"/>
        <v>15845</v>
      </c>
    </row>
    <row r="19" spans="1:42" s="255" customFormat="1" ht="27.75" customHeight="1">
      <c r="A19" s="329">
        <v>14</v>
      </c>
      <c r="B19" s="320" t="str">
        <f>Data!AM228</f>
        <v>Aug, 2019</v>
      </c>
      <c r="C19" s="321">
        <f>IF(A19&gt;Data!AM$303,0,Data!AV228)</f>
        <v>57220</v>
      </c>
      <c r="D19" s="322">
        <f>IF(C19&gt;0,Data!$L$23+Data!M$24,0)</f>
        <v>35</v>
      </c>
      <c r="E19" s="321">
        <f t="shared" si="24"/>
        <v>4166</v>
      </c>
      <c r="F19" s="322">
        <f t="shared" si="10"/>
        <v>10</v>
      </c>
      <c r="G19" s="321">
        <f t="shared" si="11"/>
        <v>2000</v>
      </c>
      <c r="H19" s="321">
        <f t="shared" si="12"/>
        <v>30</v>
      </c>
      <c r="I19" s="321">
        <f>IF(C19&gt;0,Data!F$23,0)</f>
        <v>390</v>
      </c>
      <c r="J19" s="321">
        <f>IF(C19&gt;0,Data!BB228,0)</f>
        <v>13733</v>
      </c>
      <c r="K19" s="323">
        <f t="shared" si="20"/>
        <v>0</v>
      </c>
      <c r="L19" s="321">
        <f t="shared" si="13"/>
        <v>0</v>
      </c>
      <c r="M19" s="322">
        <v>0</v>
      </c>
      <c r="N19" s="321">
        <f t="shared" si="0"/>
        <v>77584</v>
      </c>
      <c r="O19" s="321">
        <f>IF(Data!P$23="Yes",0,IF(N19&gt;=20000,200,IF(N19&gt;=15000,150,IF(N19&gt;=10000,100,0))))</f>
        <v>0</v>
      </c>
      <c r="P19" s="321">
        <f>IF(C19&gt;0,Data!AU228,0)</f>
        <v>35120</v>
      </c>
      <c r="Q19" s="321">
        <f t="shared" ref="Q19:Q26" si="25">ROUND(P19*38.776%,0.1)</f>
        <v>13618</v>
      </c>
      <c r="R19" s="321">
        <f t="shared" si="21"/>
        <v>48738</v>
      </c>
      <c r="S19" s="324">
        <f t="shared" si="1"/>
        <v>35</v>
      </c>
      <c r="T19" s="324">
        <f>IF(C19&gt;0,Data!E$27,0)</f>
        <v>10</v>
      </c>
      <c r="U19" s="321">
        <f>IF(Data!P$23="Yes",MIN(ROUND(P19*10%,0.1),2000),0)</f>
        <v>2000</v>
      </c>
      <c r="V19" s="321">
        <f>IF(C19&gt;0,Data!G$28,0)</f>
        <v>30</v>
      </c>
      <c r="W19" s="325">
        <f>IF(C19&gt;0,Data!F$23,0)</f>
        <v>390</v>
      </c>
      <c r="X19" s="321">
        <f>IF(P19&gt;0,Data!AY228,0)</f>
        <v>10536</v>
      </c>
      <c r="Y19" s="325">
        <f>IF(P19&gt;0,IF(Data!J$27="Yes",MIN(ROUND(P19*8%,0.1),2000),0),0)</f>
        <v>0</v>
      </c>
      <c r="Z19" s="321">
        <f>IF(C19&gt;0,Data!BH228,0)</f>
        <v>0</v>
      </c>
      <c r="AA19" s="322">
        <v>0</v>
      </c>
      <c r="AB19" s="321">
        <f t="shared" si="2"/>
        <v>61739</v>
      </c>
      <c r="AC19" s="326">
        <f>IF(Data!P$23="Yes",0,IF(AB19&gt;=20000,200,IF(AB19&gt;=15000,150,IF(AB19&gt;=10000,100,IF(AB19&gt;=8000,80,0)))))</f>
        <v>0</v>
      </c>
      <c r="AD19" s="327">
        <f t="shared" si="3"/>
        <v>8482</v>
      </c>
      <c r="AE19" s="321">
        <f t="shared" si="4"/>
        <v>4166</v>
      </c>
      <c r="AF19" s="321">
        <f t="shared" si="5"/>
        <v>0</v>
      </c>
      <c r="AG19" s="321">
        <f t="shared" si="6"/>
        <v>0</v>
      </c>
      <c r="AH19" s="321">
        <f t="shared" si="7"/>
        <v>0</v>
      </c>
      <c r="AI19" s="321">
        <f t="shared" si="15"/>
        <v>3197</v>
      </c>
      <c r="AJ19" s="321">
        <f t="shared" si="16"/>
        <v>0</v>
      </c>
      <c r="AK19" s="321">
        <f t="shared" si="17"/>
        <v>0</v>
      </c>
      <c r="AL19" s="321">
        <f t="shared" si="18"/>
        <v>0</v>
      </c>
      <c r="AM19" s="321">
        <f t="shared" si="8"/>
        <v>15845</v>
      </c>
      <c r="AN19" s="321">
        <f t="shared" si="9"/>
        <v>0</v>
      </c>
      <c r="AO19" s="321">
        <f>IF(Data!O$11="CPS",(ROUND(C19*10%,0.1)+ROUND(E19*10%,0.1))-(ROUND(P19*10%,0.1)+ROUND(Q19*10%,0.1)),0)</f>
        <v>0</v>
      </c>
      <c r="AP19" s="259">
        <f t="shared" si="19"/>
        <v>15845</v>
      </c>
    </row>
    <row r="20" spans="1:42" s="255" customFormat="1" ht="27.75" customHeight="1">
      <c r="A20" s="329">
        <v>15</v>
      </c>
      <c r="B20" s="320" t="str">
        <f>Data!AM229</f>
        <v>Sep, 2019</v>
      </c>
      <c r="C20" s="321">
        <f>IF(A20&gt;Data!AM$303,0,Data!AV229)</f>
        <v>57220</v>
      </c>
      <c r="D20" s="322">
        <f>IF(C20&gt;0,Data!$L$23+Data!M$24,0)</f>
        <v>35</v>
      </c>
      <c r="E20" s="321">
        <f t="shared" si="24"/>
        <v>4166</v>
      </c>
      <c r="F20" s="322">
        <f t="shared" si="10"/>
        <v>10</v>
      </c>
      <c r="G20" s="321">
        <f t="shared" si="11"/>
        <v>2000</v>
      </c>
      <c r="H20" s="321">
        <f t="shared" si="12"/>
        <v>30</v>
      </c>
      <c r="I20" s="321">
        <f>IF(C20&gt;0,Data!F$23,0)</f>
        <v>390</v>
      </c>
      <c r="J20" s="321">
        <f>IF(C20&gt;0,Data!BB229,0)</f>
        <v>13733</v>
      </c>
      <c r="K20" s="323">
        <f t="shared" si="20"/>
        <v>0</v>
      </c>
      <c r="L20" s="321">
        <f t="shared" si="13"/>
        <v>0</v>
      </c>
      <c r="M20" s="322">
        <v>0</v>
      </c>
      <c r="N20" s="321">
        <f t="shared" si="0"/>
        <v>77584</v>
      </c>
      <c r="O20" s="321">
        <f>IF(Data!P$23="Yes",0,IF(N20&gt;=20000,200,IF(N20&gt;=15000,150,IF(N20&gt;=10000,100,0))))</f>
        <v>0</v>
      </c>
      <c r="P20" s="321">
        <f>IF(C20&gt;0,Data!AU229,0)</f>
        <v>35120</v>
      </c>
      <c r="Q20" s="321">
        <f t="shared" si="25"/>
        <v>13618</v>
      </c>
      <c r="R20" s="321">
        <f t="shared" si="21"/>
        <v>48738</v>
      </c>
      <c r="S20" s="324">
        <f t="shared" si="1"/>
        <v>35</v>
      </c>
      <c r="T20" s="324">
        <f>IF(C20&gt;0,Data!E$27,0)</f>
        <v>10</v>
      </c>
      <c r="U20" s="321">
        <f>IF(Data!P$23="Yes",MIN(ROUND(P20*10%,0.1),2000),0)</f>
        <v>2000</v>
      </c>
      <c r="V20" s="321">
        <f>IF(C20&gt;0,Data!G$28,0)</f>
        <v>30</v>
      </c>
      <c r="W20" s="325">
        <f>IF(C20&gt;0,Data!F$23,0)</f>
        <v>390</v>
      </c>
      <c r="X20" s="321">
        <f>IF(P20&gt;0,Data!AY229,0)</f>
        <v>10536</v>
      </c>
      <c r="Y20" s="325">
        <f>IF(P20&gt;0,IF(Data!J$27="Yes",MIN(ROUND(P20*8%,0.1),2000),0),0)</f>
        <v>0</v>
      </c>
      <c r="Z20" s="321">
        <f>IF(C20&gt;0,Data!BH229,0)</f>
        <v>0</v>
      </c>
      <c r="AA20" s="322">
        <v>0</v>
      </c>
      <c r="AB20" s="321">
        <f t="shared" si="2"/>
        <v>61739</v>
      </c>
      <c r="AC20" s="326">
        <f>IF(Data!P$23="Yes",0,IF(AB20&gt;=20000,200,IF(AB20&gt;=15000,150,IF(AB20&gt;=10000,100,IF(AB20&gt;=8000,80,0)))))</f>
        <v>0</v>
      </c>
      <c r="AD20" s="327">
        <f t="shared" si="3"/>
        <v>8482</v>
      </c>
      <c r="AE20" s="321">
        <f t="shared" si="4"/>
        <v>4166</v>
      </c>
      <c r="AF20" s="321">
        <f t="shared" si="5"/>
        <v>0</v>
      </c>
      <c r="AG20" s="321">
        <f t="shared" si="6"/>
        <v>0</v>
      </c>
      <c r="AH20" s="321">
        <f t="shared" si="7"/>
        <v>0</v>
      </c>
      <c r="AI20" s="321">
        <f t="shared" si="15"/>
        <v>3197</v>
      </c>
      <c r="AJ20" s="321">
        <f t="shared" si="16"/>
        <v>0</v>
      </c>
      <c r="AK20" s="321">
        <f t="shared" si="17"/>
        <v>0</v>
      </c>
      <c r="AL20" s="321">
        <f t="shared" si="18"/>
        <v>0</v>
      </c>
      <c r="AM20" s="321">
        <f t="shared" si="8"/>
        <v>15845</v>
      </c>
      <c r="AN20" s="321">
        <f t="shared" si="9"/>
        <v>0</v>
      </c>
      <c r="AO20" s="321">
        <f>IF(Data!O$11="CPS",(ROUND(C20*10%,0.1)+ROUND(E20*10%,0.1))-(ROUND(P20*10%,0.1)+ROUND(Q20*10%,0.1)),0)</f>
        <v>0</v>
      </c>
      <c r="AP20" s="259">
        <f t="shared" si="19"/>
        <v>15845</v>
      </c>
    </row>
    <row r="21" spans="1:42" s="255" customFormat="1" ht="27.75" customHeight="1">
      <c r="A21" s="329">
        <v>16</v>
      </c>
      <c r="B21" s="320" t="str">
        <f>Data!AM230</f>
        <v>Oct, 2019</v>
      </c>
      <c r="C21" s="321">
        <f>IF(A21&gt;Data!AM$303,0,Data!AV230)</f>
        <v>58850</v>
      </c>
      <c r="D21" s="322">
        <f>IF(C21&gt;0,Data!$L$23+Data!M$24,0)</f>
        <v>35</v>
      </c>
      <c r="E21" s="321">
        <f t="shared" si="24"/>
        <v>4284</v>
      </c>
      <c r="F21" s="322">
        <f t="shared" si="10"/>
        <v>10</v>
      </c>
      <c r="G21" s="321">
        <f t="shared" si="11"/>
        <v>2000</v>
      </c>
      <c r="H21" s="321">
        <f t="shared" si="12"/>
        <v>30</v>
      </c>
      <c r="I21" s="321">
        <f>IF(C21&gt;0,Data!F$23,0)</f>
        <v>390</v>
      </c>
      <c r="J21" s="321">
        <f>IF(C21&gt;0,Data!BB230,0)</f>
        <v>14124</v>
      </c>
      <c r="K21" s="323">
        <f t="shared" si="20"/>
        <v>0</v>
      </c>
      <c r="L21" s="321">
        <f t="shared" si="13"/>
        <v>0</v>
      </c>
      <c r="M21" s="322">
        <v>0</v>
      </c>
      <c r="N21" s="321">
        <f t="shared" si="0"/>
        <v>79723</v>
      </c>
      <c r="O21" s="321">
        <f>IF(Data!P$23="Yes",0,IF(N21&gt;=20000,200,IF(N21&gt;=15000,150,IF(N21&gt;=10000,100,0))))</f>
        <v>0</v>
      </c>
      <c r="P21" s="321">
        <f>IF(C21&gt;0,Data!AU230,0)</f>
        <v>36070</v>
      </c>
      <c r="Q21" s="321">
        <f t="shared" si="25"/>
        <v>13987</v>
      </c>
      <c r="R21" s="321">
        <f t="shared" si="21"/>
        <v>50057</v>
      </c>
      <c r="S21" s="324">
        <f t="shared" si="1"/>
        <v>35</v>
      </c>
      <c r="T21" s="324">
        <f>IF(C21&gt;0,Data!E$27,0)</f>
        <v>10</v>
      </c>
      <c r="U21" s="321">
        <f>IF(Data!P$23="Yes",MIN(ROUND(P21*10%,0.1),2000),0)</f>
        <v>2000</v>
      </c>
      <c r="V21" s="321">
        <f>IF(C21&gt;0,Data!G$28,0)</f>
        <v>30</v>
      </c>
      <c r="W21" s="325">
        <f>IF(C21&gt;0,Data!F$23,0)</f>
        <v>390</v>
      </c>
      <c r="X21" s="321">
        <f>IF(P21&gt;0,Data!AY230,0)</f>
        <v>10821</v>
      </c>
      <c r="Y21" s="325">
        <f>IF(P21&gt;0,IF(Data!J$27="Yes",MIN(ROUND(P21*8%,0.1),2000),0),0)</f>
        <v>0</v>
      </c>
      <c r="Z21" s="321">
        <f>IF(C21&gt;0,Data!BH230,0)</f>
        <v>0</v>
      </c>
      <c r="AA21" s="322">
        <v>0</v>
      </c>
      <c r="AB21" s="321">
        <f t="shared" si="2"/>
        <v>63343</v>
      </c>
      <c r="AC21" s="326">
        <f>IF(Data!P$23="Yes",0,IF(AB21&gt;=20000,200,IF(AB21&gt;=15000,150,IF(AB21&gt;=10000,100,IF(AB21&gt;=8000,80,0)))))</f>
        <v>0</v>
      </c>
      <c r="AD21" s="327">
        <f t="shared" si="3"/>
        <v>8793</v>
      </c>
      <c r="AE21" s="321">
        <f t="shared" si="4"/>
        <v>4284</v>
      </c>
      <c r="AF21" s="321">
        <f t="shared" si="5"/>
        <v>0</v>
      </c>
      <c r="AG21" s="321">
        <f t="shared" si="6"/>
        <v>0</v>
      </c>
      <c r="AH21" s="321">
        <f t="shared" si="7"/>
        <v>0</v>
      </c>
      <c r="AI21" s="321">
        <f t="shared" si="15"/>
        <v>3303</v>
      </c>
      <c r="AJ21" s="321">
        <f t="shared" si="16"/>
        <v>0</v>
      </c>
      <c r="AK21" s="321">
        <f t="shared" si="17"/>
        <v>0</v>
      </c>
      <c r="AL21" s="321">
        <f t="shared" si="18"/>
        <v>0</v>
      </c>
      <c r="AM21" s="321">
        <f t="shared" si="8"/>
        <v>16380</v>
      </c>
      <c r="AN21" s="321">
        <f t="shared" si="9"/>
        <v>0</v>
      </c>
      <c r="AO21" s="321">
        <f>IF(Data!O$11="CPS",(ROUND(C21*10%,0.1)+ROUND(E21*10%,0.1))-(ROUND(P21*10%,0.1)+ROUND(Q21*10%,0.1)),0)</f>
        <v>0</v>
      </c>
      <c r="AP21" s="259">
        <f t="shared" si="19"/>
        <v>16380</v>
      </c>
    </row>
    <row r="22" spans="1:42" s="255" customFormat="1" ht="27.75" customHeight="1">
      <c r="A22" s="329">
        <v>17</v>
      </c>
      <c r="B22" s="320" t="str">
        <f>Data!AM231</f>
        <v>Nov, 2019</v>
      </c>
      <c r="C22" s="321">
        <f>IF(A22&gt;Data!AM$303,0,Data!AV231)</f>
        <v>58850</v>
      </c>
      <c r="D22" s="322">
        <f>IF(C22&gt;0,Data!$L$23+Data!M$24,0)</f>
        <v>35</v>
      </c>
      <c r="E22" s="321">
        <f t="shared" si="24"/>
        <v>4284</v>
      </c>
      <c r="F22" s="322">
        <f t="shared" si="10"/>
        <v>10</v>
      </c>
      <c r="G22" s="321">
        <f t="shared" si="11"/>
        <v>2000</v>
      </c>
      <c r="H22" s="321">
        <f t="shared" si="12"/>
        <v>30</v>
      </c>
      <c r="I22" s="321">
        <f>IF(C22&gt;0,Data!F$23,0)</f>
        <v>390</v>
      </c>
      <c r="J22" s="321">
        <f>IF(C22&gt;0,Data!BB231,0)</f>
        <v>14124</v>
      </c>
      <c r="K22" s="323">
        <f t="shared" si="20"/>
        <v>0</v>
      </c>
      <c r="L22" s="321">
        <f t="shared" si="13"/>
        <v>0</v>
      </c>
      <c r="M22" s="322">
        <v>0</v>
      </c>
      <c r="N22" s="321">
        <f t="shared" si="0"/>
        <v>79723</v>
      </c>
      <c r="O22" s="321">
        <f>IF(Data!P$23="Yes",0,IF(N22&gt;=20000,200,IF(N22&gt;=15000,150,IF(N22&gt;=10000,100,0))))</f>
        <v>0</v>
      </c>
      <c r="P22" s="321">
        <f>IF(C22&gt;0,Data!AU231,0)</f>
        <v>36070</v>
      </c>
      <c r="Q22" s="321">
        <f t="shared" si="25"/>
        <v>13987</v>
      </c>
      <c r="R22" s="321">
        <f t="shared" si="21"/>
        <v>50057</v>
      </c>
      <c r="S22" s="324">
        <f t="shared" si="1"/>
        <v>35</v>
      </c>
      <c r="T22" s="324">
        <f>IF(C22&gt;0,Data!E$27,0)</f>
        <v>10</v>
      </c>
      <c r="U22" s="321">
        <f>IF(Data!P$23="Yes",MIN(ROUND(P22*10%,0.1),2000),0)</f>
        <v>2000</v>
      </c>
      <c r="V22" s="321">
        <f>IF(C22&gt;0,Data!G$28,0)</f>
        <v>30</v>
      </c>
      <c r="W22" s="325">
        <f>IF(C22&gt;0,Data!F$23,0)</f>
        <v>390</v>
      </c>
      <c r="X22" s="321">
        <f>IF(P22&gt;0,Data!AY231,0)</f>
        <v>10821</v>
      </c>
      <c r="Y22" s="325">
        <f>IF(P22&gt;0,IF(Data!J$27="Yes",MIN(ROUND(P22*8%,0.1),2000),0),0)</f>
        <v>0</v>
      </c>
      <c r="Z22" s="321">
        <f>IF(C22&gt;0,Data!BH231,0)</f>
        <v>0</v>
      </c>
      <c r="AA22" s="322">
        <v>0</v>
      </c>
      <c r="AB22" s="321">
        <f t="shared" si="2"/>
        <v>63343</v>
      </c>
      <c r="AC22" s="326">
        <f>IF(Data!P$23="Yes",0,IF(AB22&gt;=20000,200,IF(AB22&gt;=15000,150,IF(AB22&gt;=10000,100,IF(AB22&gt;=8000,80,0)))))</f>
        <v>0</v>
      </c>
      <c r="AD22" s="327">
        <f t="shared" si="3"/>
        <v>8793</v>
      </c>
      <c r="AE22" s="321">
        <f t="shared" si="4"/>
        <v>4284</v>
      </c>
      <c r="AF22" s="321">
        <f t="shared" si="5"/>
        <v>0</v>
      </c>
      <c r="AG22" s="321">
        <f t="shared" si="6"/>
        <v>0</v>
      </c>
      <c r="AH22" s="321">
        <f t="shared" si="7"/>
        <v>0</v>
      </c>
      <c r="AI22" s="321">
        <f t="shared" si="15"/>
        <v>3303</v>
      </c>
      <c r="AJ22" s="321">
        <f t="shared" si="16"/>
        <v>0</v>
      </c>
      <c r="AK22" s="321">
        <f t="shared" si="17"/>
        <v>0</v>
      </c>
      <c r="AL22" s="321">
        <f t="shared" si="18"/>
        <v>0</v>
      </c>
      <c r="AM22" s="321">
        <f t="shared" si="8"/>
        <v>16380</v>
      </c>
      <c r="AN22" s="321">
        <f t="shared" si="9"/>
        <v>0</v>
      </c>
      <c r="AO22" s="321">
        <f>IF(Data!O$11="CPS",(ROUND(C22*10%,0.1)+ROUND(E22*10%,0.1))-(ROUND(P22*10%,0.1)+ROUND(Q22*10%,0.1)),0)</f>
        <v>0</v>
      </c>
      <c r="AP22" s="259">
        <f t="shared" si="19"/>
        <v>16380</v>
      </c>
    </row>
    <row r="23" spans="1:42" s="255" customFormat="1" ht="27.75" customHeight="1">
      <c r="A23" s="329">
        <v>18</v>
      </c>
      <c r="B23" s="320" t="str">
        <f>Data!AM232</f>
        <v>Dec, 2019</v>
      </c>
      <c r="C23" s="321">
        <f>IF(A23&gt;Data!AM$303,0,Data!AV232)</f>
        <v>58850</v>
      </c>
      <c r="D23" s="322">
        <f>IF(C23&gt;0,Data!$L$23+Data!M$24,0)</f>
        <v>35</v>
      </c>
      <c r="E23" s="321">
        <f t="shared" si="24"/>
        <v>4284</v>
      </c>
      <c r="F23" s="322">
        <f t="shared" si="10"/>
        <v>10</v>
      </c>
      <c r="G23" s="321">
        <f t="shared" si="11"/>
        <v>2000</v>
      </c>
      <c r="H23" s="321">
        <f t="shared" si="12"/>
        <v>30</v>
      </c>
      <c r="I23" s="321">
        <f>IF(C23&gt;0,Data!F$23,0)</f>
        <v>390</v>
      </c>
      <c r="J23" s="321">
        <f>IF(C23&gt;0,Data!BB232,0)</f>
        <v>14124</v>
      </c>
      <c r="K23" s="323">
        <f t="shared" si="20"/>
        <v>0</v>
      </c>
      <c r="L23" s="321">
        <f t="shared" si="13"/>
        <v>0</v>
      </c>
      <c r="M23" s="322">
        <v>0</v>
      </c>
      <c r="N23" s="321">
        <f t="shared" si="0"/>
        <v>79723</v>
      </c>
      <c r="O23" s="321">
        <f>IF(Data!P$23="Yes",0,IF(N23&gt;=20000,200,IF(N23&gt;=15000,150,IF(N23&gt;=10000,100,0))))</f>
        <v>0</v>
      </c>
      <c r="P23" s="321">
        <f>IF(C23&gt;0,Data!AU232,0)</f>
        <v>36070</v>
      </c>
      <c r="Q23" s="321">
        <f t="shared" si="25"/>
        <v>13987</v>
      </c>
      <c r="R23" s="321">
        <f t="shared" si="21"/>
        <v>50057</v>
      </c>
      <c r="S23" s="324">
        <f t="shared" si="1"/>
        <v>35</v>
      </c>
      <c r="T23" s="324">
        <f>IF(C23&gt;0,Data!E$27,0)</f>
        <v>10</v>
      </c>
      <c r="U23" s="321">
        <f>IF(Data!P$23="Yes",MIN(ROUND(P23*10%,0.1),2000),0)</f>
        <v>2000</v>
      </c>
      <c r="V23" s="321">
        <f>IF(C23&gt;0,Data!G$28,0)</f>
        <v>30</v>
      </c>
      <c r="W23" s="325">
        <f>IF(C23&gt;0,Data!F$23,0)</f>
        <v>390</v>
      </c>
      <c r="X23" s="321">
        <f>IF(P23&gt;0,Data!AY232,0)</f>
        <v>10821</v>
      </c>
      <c r="Y23" s="325">
        <f>IF(P23&gt;0,IF(Data!J$27="Yes",MIN(ROUND(P23*8%,0.1),2000),0),0)</f>
        <v>0</v>
      </c>
      <c r="Z23" s="321">
        <f>IF(C23&gt;0,Data!BH232,0)</f>
        <v>0</v>
      </c>
      <c r="AA23" s="322">
        <v>0</v>
      </c>
      <c r="AB23" s="321">
        <f t="shared" si="2"/>
        <v>63343</v>
      </c>
      <c r="AC23" s="326">
        <f>IF(Data!P$23="Yes",0,IF(AB23&gt;=20000,200,IF(AB23&gt;=15000,150,IF(AB23&gt;=10000,100,IF(AB23&gt;=8000,80,0)))))</f>
        <v>0</v>
      </c>
      <c r="AD23" s="327">
        <f t="shared" si="3"/>
        <v>8793</v>
      </c>
      <c r="AE23" s="321">
        <f t="shared" si="4"/>
        <v>4284</v>
      </c>
      <c r="AF23" s="321">
        <f t="shared" si="5"/>
        <v>0</v>
      </c>
      <c r="AG23" s="321">
        <f t="shared" si="6"/>
        <v>0</v>
      </c>
      <c r="AH23" s="321">
        <f t="shared" si="7"/>
        <v>0</v>
      </c>
      <c r="AI23" s="321">
        <f t="shared" si="15"/>
        <v>3303</v>
      </c>
      <c r="AJ23" s="321">
        <f t="shared" si="16"/>
        <v>0</v>
      </c>
      <c r="AK23" s="321">
        <f t="shared" si="17"/>
        <v>0</v>
      </c>
      <c r="AL23" s="321">
        <f t="shared" si="18"/>
        <v>0</v>
      </c>
      <c r="AM23" s="321">
        <f t="shared" si="8"/>
        <v>16380</v>
      </c>
      <c r="AN23" s="321">
        <f t="shared" si="9"/>
        <v>0</v>
      </c>
      <c r="AO23" s="321">
        <f>IF(Data!O$11="CPS",(ROUND(C23*10%,0.1)+ROUND(E23*10%,0.1))-(ROUND(P23*10%,0.1)+ROUND(Q23*10%,0.1)),0)</f>
        <v>0</v>
      </c>
      <c r="AP23" s="259">
        <f t="shared" si="19"/>
        <v>16380</v>
      </c>
    </row>
    <row r="24" spans="1:42" s="255" customFormat="1" ht="27.75" customHeight="1">
      <c r="A24" s="329">
        <v>19</v>
      </c>
      <c r="B24" s="320" t="str">
        <f>Data!AM233</f>
        <v>Jan, 2020</v>
      </c>
      <c r="C24" s="321">
        <f>IF(A24&gt;Data!AM$303,0,Data!AV233)</f>
        <v>58850</v>
      </c>
      <c r="D24" s="322">
        <f>IF(C24&gt;0,Data!$L$23+Data!M$24,0)</f>
        <v>35</v>
      </c>
      <c r="E24" s="321">
        <f t="shared" si="24"/>
        <v>4284</v>
      </c>
      <c r="F24" s="322">
        <f t="shared" si="10"/>
        <v>10</v>
      </c>
      <c r="G24" s="321">
        <f t="shared" si="11"/>
        <v>2000</v>
      </c>
      <c r="H24" s="321">
        <f t="shared" si="12"/>
        <v>30</v>
      </c>
      <c r="I24" s="321">
        <f>IF(C24&gt;0,Data!F$23,0)</f>
        <v>390</v>
      </c>
      <c r="J24" s="321">
        <f>IF(C24&gt;0,Data!BB233,0)</f>
        <v>14124</v>
      </c>
      <c r="K24" s="323">
        <f t="shared" si="20"/>
        <v>0</v>
      </c>
      <c r="L24" s="321">
        <f t="shared" si="13"/>
        <v>0</v>
      </c>
      <c r="M24" s="322">
        <v>0</v>
      </c>
      <c r="N24" s="321">
        <f t="shared" si="0"/>
        <v>79723</v>
      </c>
      <c r="O24" s="321">
        <f>IF(Data!P$23="Yes",0,IF(N24&gt;=20000,200,IF(N24&gt;=15000,150,IF(N24&gt;=10000,100,0))))</f>
        <v>0</v>
      </c>
      <c r="P24" s="321">
        <f>IF(C24&gt;0,Data!AU233,0)</f>
        <v>36070</v>
      </c>
      <c r="Q24" s="321">
        <f t="shared" si="25"/>
        <v>13987</v>
      </c>
      <c r="R24" s="321">
        <f t="shared" si="21"/>
        <v>50057</v>
      </c>
      <c r="S24" s="324">
        <f t="shared" si="1"/>
        <v>35</v>
      </c>
      <c r="T24" s="324">
        <f>IF(C24&gt;0,Data!E$27,0)</f>
        <v>10</v>
      </c>
      <c r="U24" s="321">
        <f>IF(Data!P$23="Yes",MIN(ROUND(P24*10%,0.1),2000),0)</f>
        <v>2000</v>
      </c>
      <c r="V24" s="321">
        <f>IF(C24&gt;0,Data!G$28,0)</f>
        <v>30</v>
      </c>
      <c r="W24" s="325">
        <f>IF(C24&gt;0,Data!F$23,0)</f>
        <v>390</v>
      </c>
      <c r="X24" s="321">
        <f>IF(P24&gt;0,Data!AY233,0)</f>
        <v>10821</v>
      </c>
      <c r="Y24" s="325">
        <f>IF(P24&gt;0,IF(Data!J$27="Yes",MIN(ROUND(P24*8%,0.1),2000),0),0)</f>
        <v>0</v>
      </c>
      <c r="Z24" s="321">
        <f>IF(C24&gt;0,Data!BH233,0)</f>
        <v>0</v>
      </c>
      <c r="AA24" s="322">
        <v>0</v>
      </c>
      <c r="AB24" s="321">
        <f t="shared" si="2"/>
        <v>63343</v>
      </c>
      <c r="AC24" s="326">
        <f>IF(Data!P$23="Yes",0,IF(AB24&gt;=20000,200,IF(AB24&gt;=15000,150,IF(AB24&gt;=10000,100,IF(AB24&gt;=8000,80,0)))))</f>
        <v>0</v>
      </c>
      <c r="AD24" s="327">
        <f t="shared" si="3"/>
        <v>8793</v>
      </c>
      <c r="AE24" s="321">
        <f t="shared" si="4"/>
        <v>4284</v>
      </c>
      <c r="AF24" s="321">
        <f t="shared" si="5"/>
        <v>0</v>
      </c>
      <c r="AG24" s="321">
        <f t="shared" si="6"/>
        <v>0</v>
      </c>
      <c r="AH24" s="321">
        <f t="shared" si="7"/>
        <v>0</v>
      </c>
      <c r="AI24" s="321">
        <f t="shared" si="15"/>
        <v>3303</v>
      </c>
      <c r="AJ24" s="321">
        <f t="shared" si="16"/>
        <v>0</v>
      </c>
      <c r="AK24" s="321">
        <f t="shared" si="17"/>
        <v>0</v>
      </c>
      <c r="AL24" s="321">
        <f t="shared" si="18"/>
        <v>0</v>
      </c>
      <c r="AM24" s="321">
        <f t="shared" si="8"/>
        <v>16380</v>
      </c>
      <c r="AN24" s="321">
        <f t="shared" si="9"/>
        <v>0</v>
      </c>
      <c r="AO24" s="321">
        <f>IF(Data!O$11="CPS",(ROUND(C24*10%,0.1)+ROUND(E24*10%,0.1))-(ROUND(P24*10%,0.1)+ROUND(Q24*10%,0.1)),0)</f>
        <v>0</v>
      </c>
      <c r="AP24" s="259">
        <f t="shared" si="19"/>
        <v>16380</v>
      </c>
    </row>
    <row r="25" spans="1:42" s="255" customFormat="1" ht="27.75" customHeight="1">
      <c r="A25" s="329">
        <v>20</v>
      </c>
      <c r="B25" s="320" t="str">
        <f>Data!AM234</f>
        <v>Feb, 2020</v>
      </c>
      <c r="C25" s="321">
        <f>IF(A25&gt;Data!AM$303,0,Data!AV234)</f>
        <v>58850</v>
      </c>
      <c r="D25" s="322">
        <f>IF(C25&gt;0,Data!$L$23+Data!M$24,0)</f>
        <v>35</v>
      </c>
      <c r="E25" s="321">
        <f t="shared" si="24"/>
        <v>4284</v>
      </c>
      <c r="F25" s="322">
        <f t="shared" si="10"/>
        <v>10</v>
      </c>
      <c r="G25" s="321">
        <f t="shared" si="11"/>
        <v>2000</v>
      </c>
      <c r="H25" s="321">
        <f t="shared" si="12"/>
        <v>30</v>
      </c>
      <c r="I25" s="321">
        <f>IF(C25&gt;0,Data!F$23,0)</f>
        <v>390</v>
      </c>
      <c r="J25" s="321">
        <f>IF(C25&gt;0,Data!BB234,0)</f>
        <v>14124</v>
      </c>
      <c r="K25" s="323">
        <f t="shared" si="20"/>
        <v>0</v>
      </c>
      <c r="L25" s="321">
        <f t="shared" si="13"/>
        <v>0</v>
      </c>
      <c r="M25" s="322">
        <v>0</v>
      </c>
      <c r="N25" s="321">
        <f t="shared" si="0"/>
        <v>79723</v>
      </c>
      <c r="O25" s="321">
        <f>IF(Data!P$23="Yes",0,IF(N25&gt;=20000,200,IF(N25&gt;=15000,150,IF(N25&gt;=10000,100,0))))</f>
        <v>0</v>
      </c>
      <c r="P25" s="321">
        <f>IF(C25&gt;0,Data!AU234,0)</f>
        <v>36070</v>
      </c>
      <c r="Q25" s="321">
        <f t="shared" si="25"/>
        <v>13987</v>
      </c>
      <c r="R25" s="321">
        <f t="shared" si="21"/>
        <v>50057</v>
      </c>
      <c r="S25" s="324">
        <f t="shared" si="1"/>
        <v>35</v>
      </c>
      <c r="T25" s="324">
        <f>IF(C25&gt;0,Data!E$27,0)</f>
        <v>10</v>
      </c>
      <c r="U25" s="321">
        <f>IF(Data!P$23="Yes",MIN(ROUND(P25*10%,0.1),2000),0)</f>
        <v>2000</v>
      </c>
      <c r="V25" s="321">
        <f>IF(C25&gt;0,Data!G$28,0)</f>
        <v>30</v>
      </c>
      <c r="W25" s="325">
        <f>IF(C25&gt;0,Data!F$23,0)</f>
        <v>390</v>
      </c>
      <c r="X25" s="321">
        <f>IF(P25&gt;0,Data!AY234,0)</f>
        <v>10821</v>
      </c>
      <c r="Y25" s="325">
        <f>IF(P25&gt;0,IF(Data!J$27="Yes",MIN(ROUND(P25*8%,0.1),2000),0),0)</f>
        <v>0</v>
      </c>
      <c r="Z25" s="321">
        <f>IF(C25&gt;0,Data!BH234,0)</f>
        <v>0</v>
      </c>
      <c r="AA25" s="322">
        <v>0</v>
      </c>
      <c r="AB25" s="321">
        <f t="shared" si="2"/>
        <v>63343</v>
      </c>
      <c r="AC25" s="326">
        <f>IF(Data!P$23="Yes",0,IF(AB25&gt;=20000,200,IF(AB25&gt;=15000,150,IF(AB25&gt;=10000,100,IF(AB25&gt;=8000,80,0)))))</f>
        <v>0</v>
      </c>
      <c r="AD25" s="327">
        <f t="shared" si="3"/>
        <v>8793</v>
      </c>
      <c r="AE25" s="321">
        <f t="shared" si="4"/>
        <v>4284</v>
      </c>
      <c r="AF25" s="321">
        <f t="shared" si="5"/>
        <v>0</v>
      </c>
      <c r="AG25" s="321">
        <f t="shared" si="6"/>
        <v>0</v>
      </c>
      <c r="AH25" s="321">
        <f t="shared" si="7"/>
        <v>0</v>
      </c>
      <c r="AI25" s="321">
        <f t="shared" si="15"/>
        <v>3303</v>
      </c>
      <c r="AJ25" s="321">
        <f t="shared" si="16"/>
        <v>0</v>
      </c>
      <c r="AK25" s="321">
        <f t="shared" si="17"/>
        <v>0</v>
      </c>
      <c r="AL25" s="321">
        <f t="shared" si="18"/>
        <v>0</v>
      </c>
      <c r="AM25" s="321">
        <f t="shared" si="8"/>
        <v>16380</v>
      </c>
      <c r="AN25" s="321">
        <f t="shared" si="9"/>
        <v>0</v>
      </c>
      <c r="AO25" s="321">
        <f>IF(Data!O$11="CPS",(ROUND(C25*10%,0.1)+ROUND(E25*10%,0.1))-(ROUND(P25*10%,0.1)+ROUND(Q25*10%,0.1)),0)</f>
        <v>0</v>
      </c>
      <c r="AP25" s="259">
        <f t="shared" si="19"/>
        <v>16380</v>
      </c>
    </row>
    <row r="26" spans="1:42" s="255" customFormat="1" ht="27.75" customHeight="1">
      <c r="A26" s="329">
        <v>21</v>
      </c>
      <c r="B26" s="320" t="str">
        <f>Data!AM235</f>
        <v>Mar, 2020</v>
      </c>
      <c r="C26" s="321">
        <f>IF(A26&gt;Data!AM$303,0,Data!AV235)</f>
        <v>58850</v>
      </c>
      <c r="D26" s="322">
        <f>IF(C26&gt;0,Data!$L$23+Data!M$24,0)</f>
        <v>35</v>
      </c>
      <c r="E26" s="321">
        <f t="shared" si="24"/>
        <v>4284</v>
      </c>
      <c r="F26" s="322">
        <f t="shared" si="10"/>
        <v>10</v>
      </c>
      <c r="G26" s="321">
        <f t="shared" si="11"/>
        <v>2000</v>
      </c>
      <c r="H26" s="321">
        <f t="shared" si="12"/>
        <v>30</v>
      </c>
      <c r="I26" s="321">
        <f>IF(C26&gt;0,Data!F$23,0)</f>
        <v>390</v>
      </c>
      <c r="J26" s="321">
        <f>IF(C26&gt;0,Data!BB235,0)</f>
        <v>14124</v>
      </c>
      <c r="K26" s="323">
        <f t="shared" si="20"/>
        <v>0</v>
      </c>
      <c r="L26" s="321">
        <f t="shared" si="13"/>
        <v>0</v>
      </c>
      <c r="M26" s="322">
        <v>0</v>
      </c>
      <c r="N26" s="321">
        <f t="shared" si="0"/>
        <v>79723</v>
      </c>
      <c r="O26" s="321">
        <f>IF(Data!P$23="Yes",0,IF(N26&gt;=20000,200,IF(N26&gt;=15000,150,IF(N26&gt;=10000,100,0))))</f>
        <v>0</v>
      </c>
      <c r="P26" s="321">
        <f>IF(C26&gt;0,Data!AU235,0)</f>
        <v>36070</v>
      </c>
      <c r="Q26" s="321">
        <f t="shared" si="25"/>
        <v>13987</v>
      </c>
      <c r="R26" s="321">
        <f t="shared" si="21"/>
        <v>50057</v>
      </c>
      <c r="S26" s="324">
        <f t="shared" si="1"/>
        <v>35</v>
      </c>
      <c r="T26" s="324">
        <f>IF(C26&gt;0,Data!E$27,0)</f>
        <v>10</v>
      </c>
      <c r="U26" s="321">
        <f>IF(Data!P$23="Yes",MIN(ROUND(P26*10%,0.1),2000),0)</f>
        <v>2000</v>
      </c>
      <c r="V26" s="321">
        <f>IF(C26&gt;0,Data!G$28,0)</f>
        <v>30</v>
      </c>
      <c r="W26" s="325">
        <f>IF(C26&gt;0,Data!F$23,0)</f>
        <v>390</v>
      </c>
      <c r="X26" s="321">
        <f>IF(P26&gt;0,Data!AY235,0)</f>
        <v>10821</v>
      </c>
      <c r="Y26" s="325">
        <f>IF(P26&gt;0,IF(Data!J$27="Yes",MIN(ROUND(P26*8%,0.1),2000),0),0)</f>
        <v>0</v>
      </c>
      <c r="Z26" s="321">
        <f>IF(C26&gt;0,Data!BH235,0)</f>
        <v>0</v>
      </c>
      <c r="AA26" s="322">
        <v>0</v>
      </c>
      <c r="AB26" s="321">
        <f t="shared" si="2"/>
        <v>63343</v>
      </c>
      <c r="AC26" s="326">
        <f>IF(Data!P$23="Yes",0,IF(AB26&gt;=20000,200,IF(AB26&gt;=15000,150,IF(AB26&gt;=10000,100,IF(AB26&gt;=8000,80,0)))))</f>
        <v>0</v>
      </c>
      <c r="AD26" s="327">
        <f t="shared" si="3"/>
        <v>8793</v>
      </c>
      <c r="AE26" s="321">
        <f t="shared" si="4"/>
        <v>4284</v>
      </c>
      <c r="AF26" s="321">
        <f t="shared" si="5"/>
        <v>0</v>
      </c>
      <c r="AG26" s="321">
        <f t="shared" si="6"/>
        <v>0</v>
      </c>
      <c r="AH26" s="321">
        <f t="shared" si="7"/>
        <v>0</v>
      </c>
      <c r="AI26" s="321">
        <f t="shared" si="15"/>
        <v>3303</v>
      </c>
      <c r="AJ26" s="321">
        <f t="shared" si="16"/>
        <v>0</v>
      </c>
      <c r="AK26" s="321">
        <f t="shared" si="17"/>
        <v>0</v>
      </c>
      <c r="AL26" s="321">
        <f t="shared" si="18"/>
        <v>0</v>
      </c>
      <c r="AM26" s="321">
        <f t="shared" si="8"/>
        <v>16380</v>
      </c>
      <c r="AN26" s="321">
        <f t="shared" si="9"/>
        <v>0</v>
      </c>
      <c r="AO26" s="321">
        <f>IF(Data!O$11="CPS",(ROUND(C26*10%,0.1)+ROUND(E26*10%,0.1))-(ROUND(P26*10%,0.1)+ROUND(Q26*10%,0.1)),0)</f>
        <v>0</v>
      </c>
      <c r="AP26" s="259">
        <f t="shared" si="19"/>
        <v>16380</v>
      </c>
    </row>
    <row r="27" spans="1:42" s="255" customFormat="1" ht="32.25" customHeight="1">
      <c r="A27" s="752" t="str">
        <f>IF(Data!BT205&lt;Data!AT236,CONCATENATE("AAS Arrears   ",),"No AAS Arrears")</f>
        <v>No AAS Arrears</v>
      </c>
      <c r="B27" s="753"/>
      <c r="C27" s="321">
        <f>IF(Data!BT205&lt;Data!AT236,Data!BU205,0)</f>
        <v>0</v>
      </c>
      <c r="D27" s="322">
        <v>0</v>
      </c>
      <c r="E27" s="330">
        <f>IF(Data!BT205&lt;Data!AT236,ROUND(C27*Data!BW205%,0.1),0)</f>
        <v>0</v>
      </c>
      <c r="F27" s="322">
        <v>0</v>
      </c>
      <c r="G27" s="321">
        <v>0</v>
      </c>
      <c r="H27" s="321">
        <v>0</v>
      </c>
      <c r="I27" s="321">
        <v>0</v>
      </c>
      <c r="J27" s="321">
        <f>IF(Data!BT205&lt;Data!AT236,ROUND(C27*Data!BX205%,0.1),0)</f>
        <v>0</v>
      </c>
      <c r="K27" s="321">
        <v>0</v>
      </c>
      <c r="L27" s="321">
        <v>0</v>
      </c>
      <c r="M27" s="322">
        <v>0</v>
      </c>
      <c r="N27" s="321">
        <f t="shared" si="0"/>
        <v>0</v>
      </c>
      <c r="O27" s="321">
        <v>0</v>
      </c>
      <c r="P27" s="321">
        <f>IF(Data!BT205&lt;Data!AT236,Data!BZ205,0)</f>
        <v>0</v>
      </c>
      <c r="Q27" s="321">
        <f>IF(Data!BT205&lt;Data!AT236,ROUND(P27*Data!CB205%,0.1),0)</f>
        <v>0</v>
      </c>
      <c r="R27" s="321">
        <f t="shared" si="21"/>
        <v>0</v>
      </c>
      <c r="S27" s="324">
        <v>0</v>
      </c>
      <c r="T27" s="331">
        <v>0</v>
      </c>
      <c r="U27" s="321">
        <v>0</v>
      </c>
      <c r="V27" s="321">
        <v>0</v>
      </c>
      <c r="W27" s="321">
        <v>0</v>
      </c>
      <c r="X27" s="321">
        <f>IF(Data!BT205&lt;Data!AT236,ROUND(P27*Data!CC205%,0.1),0)</f>
        <v>0</v>
      </c>
      <c r="Y27" s="321">
        <v>0</v>
      </c>
      <c r="Z27" s="321">
        <v>0</v>
      </c>
      <c r="AA27" s="324">
        <v>0</v>
      </c>
      <c r="AB27" s="321">
        <f t="shared" si="2"/>
        <v>0</v>
      </c>
      <c r="AC27" s="326"/>
      <c r="AD27" s="327">
        <f t="shared" si="3"/>
        <v>0</v>
      </c>
      <c r="AE27" s="321">
        <f t="shared" si="4"/>
        <v>0</v>
      </c>
      <c r="AF27" s="321">
        <f t="shared" si="5"/>
        <v>0</v>
      </c>
      <c r="AG27" s="321">
        <f t="shared" si="6"/>
        <v>0</v>
      </c>
      <c r="AH27" s="321">
        <f t="shared" si="7"/>
        <v>0</v>
      </c>
      <c r="AI27" s="321">
        <f t="shared" si="15"/>
        <v>0</v>
      </c>
      <c r="AJ27" s="321">
        <f t="shared" si="16"/>
        <v>0</v>
      </c>
      <c r="AK27" s="321">
        <f t="shared" si="17"/>
        <v>0</v>
      </c>
      <c r="AL27" s="321">
        <v>0</v>
      </c>
      <c r="AM27" s="321">
        <f t="shared" si="8"/>
        <v>0</v>
      </c>
      <c r="AN27" s="321">
        <f t="shared" si="9"/>
        <v>0</v>
      </c>
      <c r="AO27" s="321">
        <f>IF(Data!O$11="CPS",(ROUND(C27*10%,0.1)+ROUND(E27*10%,0.1))-(ROUND(P27*10%,0.1)+ROUND(Q27*10%,0.1)),0)</f>
        <v>0</v>
      </c>
      <c r="AP27" s="259">
        <f>AM27-AN27-AO27</f>
        <v>0</v>
      </c>
    </row>
    <row r="28" spans="1:42" s="255" customFormat="1" ht="32.25" customHeight="1">
      <c r="A28" s="752" t="str">
        <f>IF(OR(Data!BT206&lt;Data!AT236,Data!BT207&lt;Data!AT236),CONCATENATE("Prom Arrears  ",),"No Prom Arrears")</f>
        <v>No Prom Arrears</v>
      </c>
      <c r="B28" s="753"/>
      <c r="C28" s="321">
        <f>IF(Data!BT206&lt;Data!AT236,Data!BV206,IF(Data!BT207&lt;Data!AT236,Data!BV207,0))</f>
        <v>0</v>
      </c>
      <c r="D28" s="322">
        <v>0</v>
      </c>
      <c r="E28" s="330">
        <f>IF(Data!BT206&lt;Data!AT236,ROUND(C28*Data!BW206%,0.1),IF(Data!BT207&lt;Data!AT236,ROUND(C28*Data!BW207%,0.1),0))</f>
        <v>0</v>
      </c>
      <c r="F28" s="322">
        <v>0</v>
      </c>
      <c r="G28" s="321">
        <v>0</v>
      </c>
      <c r="H28" s="321">
        <v>0</v>
      </c>
      <c r="I28" s="321">
        <v>0</v>
      </c>
      <c r="J28" s="321">
        <f>IF(Data!BT206&lt;Data!AT236,ROUND(C28*Data!BX206%,0.1),IF(Data!BT207&lt;Data!AT236,ROUND(C28*Data!BX207%,0.1),0))</f>
        <v>0</v>
      </c>
      <c r="K28" s="321">
        <v>0</v>
      </c>
      <c r="L28" s="321">
        <v>0</v>
      </c>
      <c r="M28" s="322">
        <v>0</v>
      </c>
      <c r="N28" s="321">
        <f t="shared" si="0"/>
        <v>0</v>
      </c>
      <c r="O28" s="321">
        <v>0</v>
      </c>
      <c r="P28" s="321">
        <f>IF(Data!BT206&lt;Data!AT236,Data!CA206,IF(Data!BT207&lt;Data!AT236,Data!CA207,0))</f>
        <v>0</v>
      </c>
      <c r="Q28" s="321">
        <f>IF(Data!BT206&lt;Data!AT236,ROUND(P28*Data!CB206%,0.1),IF(Data!BT207&lt;Data!AT236,ROUND(P28*Data!CB207%,0.1),0))</f>
        <v>0</v>
      </c>
      <c r="R28" s="321">
        <f t="shared" si="21"/>
        <v>0</v>
      </c>
      <c r="S28" s="324">
        <v>0</v>
      </c>
      <c r="T28" s="331">
        <v>0</v>
      </c>
      <c r="U28" s="321">
        <v>0</v>
      </c>
      <c r="V28" s="321">
        <v>0</v>
      </c>
      <c r="W28" s="321">
        <v>0</v>
      </c>
      <c r="X28" s="321">
        <f>IF(Data!BT206&lt;Data!AT236,ROUND(P28*Data!CC206%,0.1),IF(Data!BT207&lt;Data!AT236,ROUND(P28*Data!CC207%,0.1),0))</f>
        <v>0</v>
      </c>
      <c r="Y28" s="321">
        <v>0</v>
      </c>
      <c r="Z28" s="321">
        <v>0</v>
      </c>
      <c r="AA28" s="324">
        <v>0</v>
      </c>
      <c r="AB28" s="321">
        <f t="shared" si="2"/>
        <v>0</v>
      </c>
      <c r="AC28" s="326">
        <v>0</v>
      </c>
      <c r="AD28" s="327">
        <f t="shared" si="3"/>
        <v>0</v>
      </c>
      <c r="AE28" s="321">
        <f t="shared" si="4"/>
        <v>0</v>
      </c>
      <c r="AF28" s="321">
        <f t="shared" si="5"/>
        <v>0</v>
      </c>
      <c r="AG28" s="321">
        <f t="shared" si="6"/>
        <v>0</v>
      </c>
      <c r="AH28" s="321">
        <f t="shared" si="7"/>
        <v>0</v>
      </c>
      <c r="AI28" s="321">
        <f t="shared" si="15"/>
        <v>0</v>
      </c>
      <c r="AJ28" s="321">
        <f t="shared" si="16"/>
        <v>0</v>
      </c>
      <c r="AK28" s="321">
        <f t="shared" si="17"/>
        <v>0</v>
      </c>
      <c r="AL28" s="321">
        <v>0</v>
      </c>
      <c r="AM28" s="321">
        <f t="shared" si="8"/>
        <v>0</v>
      </c>
      <c r="AN28" s="321">
        <f t="shared" si="9"/>
        <v>0</v>
      </c>
      <c r="AO28" s="321">
        <f>IF(Data!O$11="CPS",(ROUND(C28*10%,0.1)+ROUND(E28*10%,0.1))-(ROUND(P28*10%,0.1)+ROUND(Q28*10%,0.1)),0)</f>
        <v>0</v>
      </c>
      <c r="AP28" s="259">
        <f>AM28-AN28-AO28</f>
        <v>0</v>
      </c>
    </row>
    <row r="29" spans="1:42" s="255" customFormat="1" ht="32.25" customHeight="1" thickBot="1">
      <c r="A29" s="754" t="str">
        <f>IF(Data!AK293&lt;Data!AT236,Data!AK296,IF(Data!AK294&lt;Data!AT236,Data!AK297,"No SL"))</f>
        <v>SL-3/2020   30Days</v>
      </c>
      <c r="B29" s="755"/>
      <c r="C29" s="332">
        <f>IF(Data!AK293&lt;Data!AT236,Data!AO293,IF(Data!AK294&lt;Data!AT236,Data!AO294,0))</f>
        <v>58850</v>
      </c>
      <c r="D29" s="333">
        <f>IF(Data!AK293&lt;Data!AT236,Data!AR293,IF(Data!AK294&lt;Data!AT236,Data!AR294,0))</f>
        <v>15</v>
      </c>
      <c r="E29" s="334">
        <f>IF(Data!AK293&lt;Data!AT236,Data!AP293,IF(Data!AK294&lt;Data!AT236,Data!AP294,0))</f>
        <v>4284</v>
      </c>
      <c r="F29" s="333">
        <v>0</v>
      </c>
      <c r="G29" s="332">
        <v>0</v>
      </c>
      <c r="H29" s="332">
        <v>0</v>
      </c>
      <c r="I29" s="332">
        <v>0</v>
      </c>
      <c r="J29" s="332">
        <f>IF(Data!AK293&lt;Data!AT236,Data!AQ293,IF(Data!AK294&lt;Data!AT236,Data!AQ294,0))</f>
        <v>14124</v>
      </c>
      <c r="K29" s="332">
        <v>0</v>
      </c>
      <c r="L29" s="332"/>
      <c r="M29" s="333">
        <v>0</v>
      </c>
      <c r="N29" s="321">
        <f t="shared" si="0"/>
        <v>77273</v>
      </c>
      <c r="O29" s="332">
        <v>0</v>
      </c>
      <c r="P29" s="332">
        <f>IF(Data!AK293&lt;Data!AT236,Data!AV293,IF(Data!AK294&lt;Data!AT236,Data!AV294,0))</f>
        <v>36070</v>
      </c>
      <c r="Q29" s="332">
        <f>IF(Data!AK293&lt;Data!AT236,Data!AW293,IF(Data!AK294&lt;Data!AT236,Data!AW294,0))</f>
        <v>13987</v>
      </c>
      <c r="R29" s="321">
        <f t="shared" si="21"/>
        <v>50057</v>
      </c>
      <c r="S29" s="324">
        <f>D29</f>
        <v>15</v>
      </c>
      <c r="T29" s="335">
        <v>0</v>
      </c>
      <c r="U29" s="332">
        <v>0</v>
      </c>
      <c r="V29" s="332">
        <v>0</v>
      </c>
      <c r="W29" s="332">
        <v>0</v>
      </c>
      <c r="X29" s="332">
        <f>IF(Data!AK293&lt;Data!AT236,Data!AX293,IF(Data!AK294&lt;Data!AT236,Data!AX294,0))</f>
        <v>10821</v>
      </c>
      <c r="Y29" s="332">
        <v>0</v>
      </c>
      <c r="Z29" s="332">
        <v>0</v>
      </c>
      <c r="AA29" s="336">
        <v>0</v>
      </c>
      <c r="AB29" s="321">
        <f t="shared" si="2"/>
        <v>60893</v>
      </c>
      <c r="AC29" s="337">
        <v>0</v>
      </c>
      <c r="AD29" s="327">
        <f t="shared" si="3"/>
        <v>8793</v>
      </c>
      <c r="AE29" s="321">
        <f t="shared" si="4"/>
        <v>4284</v>
      </c>
      <c r="AF29" s="321">
        <f t="shared" si="5"/>
        <v>0</v>
      </c>
      <c r="AG29" s="321">
        <f t="shared" si="6"/>
        <v>0</v>
      </c>
      <c r="AH29" s="321">
        <f t="shared" si="7"/>
        <v>0</v>
      </c>
      <c r="AI29" s="321">
        <f t="shared" si="15"/>
        <v>3303</v>
      </c>
      <c r="AJ29" s="321">
        <f t="shared" si="16"/>
        <v>0</v>
      </c>
      <c r="AK29" s="321">
        <f t="shared" si="17"/>
        <v>0</v>
      </c>
      <c r="AL29" s="321">
        <v>0</v>
      </c>
      <c r="AM29" s="321">
        <f t="shared" si="8"/>
        <v>16380</v>
      </c>
      <c r="AN29" s="321">
        <f t="shared" si="9"/>
        <v>0</v>
      </c>
      <c r="AO29" s="321">
        <f>IF(Data!O$11="CPS",(ROUND(C29*10%,0.1)+ROUND(E29*10%,0.1))-(ROUND(P29*10%,0.1)+ROUND(Q29*10%,0.1)),0)</f>
        <v>0</v>
      </c>
      <c r="AP29" s="259">
        <f>AM29-AN29-AO29</f>
        <v>16380</v>
      </c>
    </row>
    <row r="30" spans="1:42" ht="41.25" customHeight="1" thickBot="1">
      <c r="A30" s="761" t="s">
        <v>410</v>
      </c>
      <c r="B30" s="762"/>
      <c r="C30" s="762"/>
      <c r="D30" s="762"/>
      <c r="E30" s="762"/>
      <c r="F30" s="762"/>
      <c r="G30" s="762"/>
      <c r="H30" s="762"/>
      <c r="I30" s="762"/>
      <c r="J30" s="762"/>
      <c r="K30" s="762"/>
      <c r="L30" s="762"/>
      <c r="M30" s="762"/>
      <c r="N30" s="762"/>
      <c r="O30" s="762"/>
      <c r="P30" s="762"/>
      <c r="Q30" s="762"/>
      <c r="R30" s="762"/>
      <c r="S30" s="762"/>
      <c r="T30" s="762"/>
      <c r="U30" s="762"/>
      <c r="V30" s="762"/>
      <c r="W30" s="762"/>
      <c r="X30" s="762"/>
      <c r="Y30" s="762"/>
      <c r="Z30" s="762"/>
      <c r="AA30" s="762"/>
      <c r="AB30" s="762"/>
      <c r="AC30" s="763"/>
      <c r="AD30" s="260">
        <f>SUM(AD6:AD29)</f>
        <v>216702</v>
      </c>
      <c r="AE30" s="260">
        <f t="shared" ref="AE30:AP30" si="26">SUM(AE6:AE29)</f>
        <v>51858</v>
      </c>
      <c r="AF30" s="260">
        <f t="shared" si="26"/>
        <v>0</v>
      </c>
      <c r="AG30" s="260">
        <f t="shared" si="26"/>
        <v>0</v>
      </c>
      <c r="AH30" s="260">
        <f t="shared" si="26"/>
        <v>0</v>
      </c>
      <c r="AI30" s="260">
        <f t="shared" si="26"/>
        <v>70851</v>
      </c>
      <c r="AJ30" s="260">
        <f>SUM(AJ6:AJ29)</f>
        <v>0</v>
      </c>
      <c r="AK30" s="260">
        <f t="shared" si="26"/>
        <v>0</v>
      </c>
      <c r="AL30" s="260">
        <f t="shared" si="26"/>
        <v>0</v>
      </c>
      <c r="AM30" s="260">
        <f t="shared" si="26"/>
        <v>339411</v>
      </c>
      <c r="AN30" s="260">
        <f t="shared" si="26"/>
        <v>0</v>
      </c>
      <c r="AO30" s="260">
        <f t="shared" si="26"/>
        <v>0</v>
      </c>
      <c r="AP30" s="261">
        <f t="shared" si="26"/>
        <v>339411</v>
      </c>
    </row>
    <row r="31" spans="1:42" ht="21" customHeight="1" thickBot="1">
      <c r="A31" s="749" t="s">
        <v>409</v>
      </c>
      <c r="B31" s="750"/>
      <c r="C31" s="750"/>
      <c r="D31" s="750"/>
      <c r="E31" s="750"/>
      <c r="F31" s="750"/>
      <c r="G31" s="750"/>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750"/>
      <c r="AF31" s="750"/>
      <c r="AG31" s="750"/>
      <c r="AH31" s="750"/>
      <c r="AI31" s="750"/>
      <c r="AJ31" s="750"/>
      <c r="AK31" s="750"/>
      <c r="AL31" s="750"/>
      <c r="AM31" s="750"/>
      <c r="AN31" s="750"/>
      <c r="AO31" s="750"/>
      <c r="AP31" s="751"/>
    </row>
    <row r="32" spans="1:42" s="255" customFormat="1" ht="20.25" customHeight="1">
      <c r="A32" s="319">
        <v>22</v>
      </c>
      <c r="B32" s="320" t="str">
        <f>Data!AM236</f>
        <v>Apr, 2020</v>
      </c>
      <c r="C32" s="321">
        <f>IF(A32&gt;Data!AM$303,0,Data!AV236)</f>
        <v>58850</v>
      </c>
      <c r="D32" s="322">
        <f>IF(C32&gt;0,Data!$L$23+Data!M$24,0)</f>
        <v>35</v>
      </c>
      <c r="E32" s="321">
        <f t="shared" ref="E32:E43" si="27">ROUND(C32*7.28%,0.1)</f>
        <v>4284</v>
      </c>
      <c r="F32" s="322">
        <f>IF(C32&gt;0,Data!E$28,0)</f>
        <v>20</v>
      </c>
      <c r="G32" s="321">
        <f>U32</f>
        <v>2000</v>
      </c>
      <c r="H32" s="321">
        <f>IF(C32&gt;0,Data!G$28,0)</f>
        <v>30</v>
      </c>
      <c r="I32" s="321">
        <f>IF(C32&gt;0,Data!F$23,0)</f>
        <v>390</v>
      </c>
      <c r="J32" s="321">
        <f>IF(C32&gt;0,Data!BB236,0)</f>
        <v>14124</v>
      </c>
      <c r="K32" s="323">
        <f>Y32</f>
        <v>0</v>
      </c>
      <c r="L32" s="321">
        <f>IF(C32&gt;0,Data!BL236,0)</f>
        <v>0</v>
      </c>
      <c r="M32" s="322">
        <v>0</v>
      </c>
      <c r="N32" s="321">
        <f t="shared" ref="N32:N46" si="28">SUM(C32:L32)</f>
        <v>79733</v>
      </c>
      <c r="O32" s="321">
        <f>IF(Data!P$23="Yes",0,IF(N32&gt;=20000,200,IF(N32&gt;=15000,150,IF(N32&gt;=10000,100,0))))</f>
        <v>0</v>
      </c>
      <c r="P32" s="321">
        <f>IF(C32&gt;0,Data!AU236,0)</f>
        <v>36070</v>
      </c>
      <c r="Q32" s="321">
        <f t="shared" ref="Q32:Q50" si="29">ROUND(P32*38.776%,0.1)</f>
        <v>13987</v>
      </c>
      <c r="R32" s="321">
        <f t="shared" ref="R32:R50" si="30">SUM(P32:Q32)</f>
        <v>50057</v>
      </c>
      <c r="S32" s="324">
        <f t="shared" ref="S32:S43" si="31">D32</f>
        <v>35</v>
      </c>
      <c r="T32" s="324">
        <f>IF(P32&gt;0,T26,0)</f>
        <v>10</v>
      </c>
      <c r="U32" s="321">
        <f>IF(Data!P$23="Yes",MIN(ROUND(P32*10%,0.1),2000),0)</f>
        <v>2000</v>
      </c>
      <c r="V32" s="321">
        <f>V26</f>
        <v>30</v>
      </c>
      <c r="W32" s="321">
        <f>W26</f>
        <v>390</v>
      </c>
      <c r="X32" s="321">
        <f>IF(P32&gt;0,Data!AY236,0)</f>
        <v>10821</v>
      </c>
      <c r="Y32" s="325">
        <f>IF(P32&gt;0,IF(Data!J$27="Yes",MIN(ROUND(P32*8%,0.1),2000),0),0)</f>
        <v>0</v>
      </c>
      <c r="Z32" s="321">
        <f>IF(P32&gt;0,Data!BH236,0)</f>
        <v>0</v>
      </c>
      <c r="AA32" s="322">
        <v>0</v>
      </c>
      <c r="AB32" s="321">
        <f t="shared" ref="AB32:AB46" si="32">SUM(R32:Z32)</f>
        <v>63343</v>
      </c>
      <c r="AC32" s="326">
        <f>IF(Data!P$23="Yes",0,IF(AB32&gt;=20000,200,IF(AB32&gt;=15000,150,IF(AB32&gt;=10000,100,IF(AB32&gt;=8000,80,0)))))</f>
        <v>0</v>
      </c>
      <c r="AD32" s="327">
        <f t="shared" ref="AD32:AD46" si="33">C32-R32</f>
        <v>8793</v>
      </c>
      <c r="AE32" s="321">
        <f t="shared" ref="AE32:AE46" si="34">E32</f>
        <v>4284</v>
      </c>
      <c r="AF32" s="321">
        <f t="shared" ref="AF32:AF46" si="35">F32-T32</f>
        <v>10</v>
      </c>
      <c r="AG32" s="321">
        <f t="shared" ref="AG32:AG46" si="36">G32-U32</f>
        <v>0</v>
      </c>
      <c r="AH32" s="321">
        <f t="shared" ref="AH32:AH46" si="37">H32-V32</f>
        <v>0</v>
      </c>
      <c r="AI32" s="321">
        <f t="shared" ref="AI32:AI46" si="38">J32-X32</f>
        <v>3303</v>
      </c>
      <c r="AJ32" s="321">
        <f t="shared" ref="AJ32:AJ46" si="39">K32-Y32</f>
        <v>0</v>
      </c>
      <c r="AK32" s="321">
        <f t="shared" ref="AK32:AK46" si="40">L32-Z32</f>
        <v>0</v>
      </c>
      <c r="AL32" s="321">
        <f t="shared" ref="AL32:AL43" si="41">M32-AA32</f>
        <v>0</v>
      </c>
      <c r="AM32" s="321">
        <f t="shared" ref="AM32:AM46" si="42">SUM(AD32:AK32)</f>
        <v>16390</v>
      </c>
      <c r="AN32" s="321">
        <f t="shared" ref="AN32:AN45" si="43">O32-AC32</f>
        <v>0</v>
      </c>
      <c r="AO32" s="321">
        <f>IF(Data!O$11="CPS",(ROUND(C32*10%,0.1)+ROUND(E32*10%,0.1))-(ROUND(P32*10%,0.1)+ROUND(Q32*10%,0.1)),0)</f>
        <v>0</v>
      </c>
      <c r="AP32" s="259">
        <f t="shared" si="19"/>
        <v>16390</v>
      </c>
    </row>
    <row r="33" spans="1:42" s="255" customFormat="1" ht="20.25" customHeight="1">
      <c r="A33" s="329">
        <v>23</v>
      </c>
      <c r="B33" s="320" t="str">
        <f>Data!AM237</f>
        <v>May, 2020</v>
      </c>
      <c r="C33" s="321">
        <f>IF(A33&gt;Data!AM$303,0,Data!AV237)</f>
        <v>58850</v>
      </c>
      <c r="D33" s="322">
        <f>IF(C33&gt;0,Data!$L$23+Data!M$24,0)</f>
        <v>35</v>
      </c>
      <c r="E33" s="330">
        <f t="shared" si="27"/>
        <v>4284</v>
      </c>
      <c r="F33" s="322">
        <f>T33</f>
        <v>10</v>
      </c>
      <c r="G33" s="321">
        <f t="shared" ref="G33:G43" si="44">U33</f>
        <v>2000</v>
      </c>
      <c r="H33" s="321">
        <f>IF(C33&gt;0,Data!G$28,0)</f>
        <v>30</v>
      </c>
      <c r="I33" s="321">
        <f>IF(C33&gt;0,Data!F$23,0)</f>
        <v>390</v>
      </c>
      <c r="J33" s="321">
        <f>IF(C33&gt;0,Data!BB237,0)</f>
        <v>14124</v>
      </c>
      <c r="K33" s="323">
        <f t="shared" ref="K33:K43" si="45">Y33</f>
        <v>0</v>
      </c>
      <c r="L33" s="321">
        <f>IF(C33&gt;0,Data!BL237,0)</f>
        <v>0</v>
      </c>
      <c r="M33" s="322">
        <v>0</v>
      </c>
      <c r="N33" s="321">
        <f t="shared" si="28"/>
        <v>79723</v>
      </c>
      <c r="O33" s="321">
        <f>IF(Data!P$23="Yes",0,IF(N33&gt;=20000,200,IF(N33&gt;=15000,150,IF(N33&gt;=10000,100,0))))</f>
        <v>0</v>
      </c>
      <c r="P33" s="321">
        <f>IF(C33&gt;0,Data!AU237,0)</f>
        <v>36070</v>
      </c>
      <c r="Q33" s="321">
        <f t="shared" si="29"/>
        <v>13987</v>
      </c>
      <c r="R33" s="321">
        <f t="shared" si="30"/>
        <v>50057</v>
      </c>
      <c r="S33" s="324">
        <f t="shared" si="31"/>
        <v>35</v>
      </c>
      <c r="T33" s="331">
        <f t="shared" ref="T33:T42" si="46">T32</f>
        <v>10</v>
      </c>
      <c r="U33" s="321">
        <f>IF(Data!P$23="Yes",MIN(ROUND(P33*10%,0.1),2000),0)</f>
        <v>2000</v>
      </c>
      <c r="V33" s="321">
        <f t="shared" ref="V33:V43" si="47">V32</f>
        <v>30</v>
      </c>
      <c r="W33" s="321">
        <f t="shared" ref="W33:W43" si="48">W32</f>
        <v>390</v>
      </c>
      <c r="X33" s="321">
        <f>IF(P33&gt;0,Data!AY237,0)</f>
        <v>10821</v>
      </c>
      <c r="Y33" s="325">
        <f>IF(P33&gt;0,IF(Data!J$27="Yes",MIN(ROUND(P33*8%,0.1),2000),0),0)</f>
        <v>0</v>
      </c>
      <c r="Z33" s="321">
        <f>IF(P33&gt;0,Data!BH237,0)</f>
        <v>0</v>
      </c>
      <c r="AA33" s="322">
        <v>0</v>
      </c>
      <c r="AB33" s="321">
        <f t="shared" si="32"/>
        <v>63343</v>
      </c>
      <c r="AC33" s="326">
        <f>IF(Data!P$23="Yes",0,IF(AB33&gt;=20000,200,IF(AB33&gt;=15000,150,IF(AB33&gt;=10000,100,IF(AB33&gt;=8000,80,0)))))</f>
        <v>0</v>
      </c>
      <c r="AD33" s="327">
        <f t="shared" si="33"/>
        <v>8793</v>
      </c>
      <c r="AE33" s="321">
        <f t="shared" si="34"/>
        <v>4284</v>
      </c>
      <c r="AF33" s="321">
        <f t="shared" si="35"/>
        <v>0</v>
      </c>
      <c r="AG33" s="321">
        <f t="shared" si="36"/>
        <v>0</v>
      </c>
      <c r="AH33" s="321">
        <f t="shared" si="37"/>
        <v>0</v>
      </c>
      <c r="AI33" s="321">
        <f t="shared" si="38"/>
        <v>3303</v>
      </c>
      <c r="AJ33" s="321">
        <f t="shared" si="39"/>
        <v>0</v>
      </c>
      <c r="AK33" s="321">
        <f t="shared" si="40"/>
        <v>0</v>
      </c>
      <c r="AL33" s="321">
        <f t="shared" si="41"/>
        <v>0</v>
      </c>
      <c r="AM33" s="321">
        <f t="shared" si="42"/>
        <v>16380</v>
      </c>
      <c r="AN33" s="321">
        <f t="shared" si="43"/>
        <v>0</v>
      </c>
      <c r="AO33" s="321">
        <f>IF(Data!O$11="CPS",(ROUND(C33*10%,0.1)+ROUND(E33*10%,0.1))-(ROUND(P33*10%,0.1)+ROUND(Q33*10%,0.1)),0)</f>
        <v>0</v>
      </c>
      <c r="AP33" s="259">
        <f t="shared" si="19"/>
        <v>16380</v>
      </c>
    </row>
    <row r="34" spans="1:42" s="255" customFormat="1" ht="20.25" customHeight="1">
      <c r="A34" s="329">
        <v>24</v>
      </c>
      <c r="B34" s="320" t="str">
        <f>Data!AM238</f>
        <v>Jun, 2020</v>
      </c>
      <c r="C34" s="321">
        <f>IF(A34&gt;Data!AM$303,0,Data!AV238)</f>
        <v>58850</v>
      </c>
      <c r="D34" s="322">
        <f>IF(C34&gt;0,Data!$L$23+Data!M$24,0)</f>
        <v>35</v>
      </c>
      <c r="E34" s="330">
        <f t="shared" si="27"/>
        <v>4284</v>
      </c>
      <c r="F34" s="322">
        <f t="shared" ref="F34:F43" si="49">T34</f>
        <v>10</v>
      </c>
      <c r="G34" s="321">
        <f t="shared" si="44"/>
        <v>2000</v>
      </c>
      <c r="H34" s="321">
        <f>IF(C34&gt;0,Data!G$28,0)</f>
        <v>30</v>
      </c>
      <c r="I34" s="321">
        <f>IF(C34&gt;0,Data!F$23,0)</f>
        <v>390</v>
      </c>
      <c r="J34" s="321">
        <f>IF(C34&gt;0,Data!BB238,0)</f>
        <v>14124</v>
      </c>
      <c r="K34" s="323">
        <f t="shared" si="45"/>
        <v>0</v>
      </c>
      <c r="L34" s="321">
        <f>IF(C34&gt;0,Data!BL238,0)</f>
        <v>1250</v>
      </c>
      <c r="M34" s="322">
        <v>0</v>
      </c>
      <c r="N34" s="321">
        <f t="shared" si="28"/>
        <v>80973</v>
      </c>
      <c r="O34" s="321">
        <f>IF(Data!P$23="Yes",0,IF(N34&gt;=20000,200,IF(N34&gt;=15000,150,IF(N34&gt;=10000,100,0))))</f>
        <v>0</v>
      </c>
      <c r="P34" s="321">
        <f>IF(C34&gt;0,Data!AU238,0)</f>
        <v>36070</v>
      </c>
      <c r="Q34" s="321">
        <f t="shared" si="29"/>
        <v>13987</v>
      </c>
      <c r="R34" s="321">
        <f t="shared" si="30"/>
        <v>50057</v>
      </c>
      <c r="S34" s="324">
        <f t="shared" si="31"/>
        <v>35</v>
      </c>
      <c r="T34" s="331">
        <f t="shared" si="46"/>
        <v>10</v>
      </c>
      <c r="U34" s="321">
        <f>IF(Data!P$23="Yes",MIN(ROUND(P34*10%,0.1),2000),0)</f>
        <v>2000</v>
      </c>
      <c r="V34" s="321">
        <f t="shared" si="47"/>
        <v>30</v>
      </c>
      <c r="W34" s="321">
        <f t="shared" si="48"/>
        <v>390</v>
      </c>
      <c r="X34" s="321">
        <f>IF(P34&gt;0,Data!AY238,0)</f>
        <v>10821</v>
      </c>
      <c r="Y34" s="325">
        <f>IF(P34&gt;0,IF(Data!J$27="Yes",MIN(ROUND(P34*8%,0.1),2000),0),0)</f>
        <v>0</v>
      </c>
      <c r="Z34" s="321">
        <f>IF(P34&gt;0,Data!BH238,0)</f>
        <v>700</v>
      </c>
      <c r="AA34" s="322">
        <v>0</v>
      </c>
      <c r="AB34" s="321">
        <f t="shared" si="32"/>
        <v>64043</v>
      </c>
      <c r="AC34" s="326">
        <f>IF(Data!P$23="Yes",0,IF(AB34&gt;=20000,200,IF(AB34&gt;=15000,150,IF(AB34&gt;=10000,100,IF(AB34&gt;=8000,80,0)))))</f>
        <v>0</v>
      </c>
      <c r="AD34" s="327">
        <f t="shared" si="33"/>
        <v>8793</v>
      </c>
      <c r="AE34" s="321">
        <f t="shared" si="34"/>
        <v>4284</v>
      </c>
      <c r="AF34" s="321">
        <f t="shared" si="35"/>
        <v>0</v>
      </c>
      <c r="AG34" s="321">
        <f t="shared" si="36"/>
        <v>0</v>
      </c>
      <c r="AH34" s="321">
        <f t="shared" si="37"/>
        <v>0</v>
      </c>
      <c r="AI34" s="321">
        <f t="shared" si="38"/>
        <v>3303</v>
      </c>
      <c r="AJ34" s="321">
        <f t="shared" si="39"/>
        <v>0</v>
      </c>
      <c r="AK34" s="321">
        <f t="shared" si="40"/>
        <v>550</v>
      </c>
      <c r="AL34" s="321">
        <f t="shared" si="41"/>
        <v>0</v>
      </c>
      <c r="AM34" s="321">
        <f t="shared" si="42"/>
        <v>16930</v>
      </c>
      <c r="AN34" s="321">
        <f t="shared" si="43"/>
        <v>0</v>
      </c>
      <c r="AO34" s="321">
        <f>IF(Data!O$11="CPS",(ROUND(C34*10%,0.1)+ROUND(E34*10%,0.1))-(ROUND(P34*10%,0.1)+ROUND(Q34*10%,0.1)),0)</f>
        <v>0</v>
      </c>
      <c r="AP34" s="259">
        <f t="shared" si="19"/>
        <v>16930</v>
      </c>
    </row>
    <row r="35" spans="1:42" s="255" customFormat="1" ht="20.25" customHeight="1">
      <c r="A35" s="329">
        <v>25</v>
      </c>
      <c r="B35" s="320" t="str">
        <f>Data!AM239</f>
        <v>Jul, 2020</v>
      </c>
      <c r="C35" s="321">
        <f>IF(A35&gt;Data!AM$303,0,Data!AV239)</f>
        <v>58850</v>
      </c>
      <c r="D35" s="322">
        <f>IF(C35&gt;0,Data!$L$23+Data!M$24,0)</f>
        <v>35</v>
      </c>
      <c r="E35" s="330">
        <f t="shared" si="27"/>
        <v>4284</v>
      </c>
      <c r="F35" s="322">
        <f t="shared" si="49"/>
        <v>10</v>
      </c>
      <c r="G35" s="321">
        <f t="shared" si="44"/>
        <v>2000</v>
      </c>
      <c r="H35" s="321">
        <f>IF(C35&gt;0,Data!G$28,0)</f>
        <v>30</v>
      </c>
      <c r="I35" s="321">
        <f>IF(C35&gt;0,Data!F$23,0)</f>
        <v>390</v>
      </c>
      <c r="J35" s="321">
        <f>IF(C35&gt;0,Data!BB239,0)</f>
        <v>14124</v>
      </c>
      <c r="K35" s="323">
        <f t="shared" si="45"/>
        <v>0</v>
      </c>
      <c r="L35" s="321">
        <f>IF(C35&gt;0,Data!BL239,0)</f>
        <v>1250</v>
      </c>
      <c r="M35" s="322">
        <v>0</v>
      </c>
      <c r="N35" s="321">
        <f t="shared" si="28"/>
        <v>80973</v>
      </c>
      <c r="O35" s="321">
        <f>IF(Data!P$23="Yes",0,IF(N35&gt;=20000,200,IF(N35&gt;=15000,150,IF(N35&gt;=10000,100,0))))</f>
        <v>0</v>
      </c>
      <c r="P35" s="321">
        <f>IF(C35&gt;0,Data!AU239,0)</f>
        <v>36070</v>
      </c>
      <c r="Q35" s="321">
        <f t="shared" si="29"/>
        <v>13987</v>
      </c>
      <c r="R35" s="321">
        <f t="shared" si="30"/>
        <v>50057</v>
      </c>
      <c r="S35" s="324">
        <f t="shared" si="31"/>
        <v>35</v>
      </c>
      <c r="T35" s="331">
        <f t="shared" si="46"/>
        <v>10</v>
      </c>
      <c r="U35" s="321">
        <f>IF(Data!P$23="Yes",MIN(ROUND(P35*10%,0.1),2000),0)</f>
        <v>2000</v>
      </c>
      <c r="V35" s="321">
        <f t="shared" si="47"/>
        <v>30</v>
      </c>
      <c r="W35" s="321">
        <f t="shared" si="48"/>
        <v>390</v>
      </c>
      <c r="X35" s="321">
        <f>IF(P35&gt;0,Data!AY239,0)</f>
        <v>10821</v>
      </c>
      <c r="Y35" s="325">
        <f>IF(P35&gt;0,IF(Data!J$27="Yes",MIN(ROUND(P35*8%,0.1),2000),0),0)</f>
        <v>0</v>
      </c>
      <c r="Z35" s="321">
        <f>IF(P35&gt;0,Data!BH239,0)</f>
        <v>700</v>
      </c>
      <c r="AA35" s="322">
        <v>0</v>
      </c>
      <c r="AB35" s="321">
        <f t="shared" si="32"/>
        <v>64043</v>
      </c>
      <c r="AC35" s="326">
        <f>IF(Data!P$23="Yes",0,IF(AB35&gt;=20000,200,IF(AB35&gt;=15000,150,IF(AB35&gt;=10000,100,IF(AB35&gt;=8000,80,0)))))</f>
        <v>0</v>
      </c>
      <c r="AD35" s="327">
        <f t="shared" si="33"/>
        <v>8793</v>
      </c>
      <c r="AE35" s="321">
        <f t="shared" si="34"/>
        <v>4284</v>
      </c>
      <c r="AF35" s="321">
        <f t="shared" si="35"/>
        <v>0</v>
      </c>
      <c r="AG35" s="321">
        <f t="shared" si="36"/>
        <v>0</v>
      </c>
      <c r="AH35" s="321">
        <f t="shared" si="37"/>
        <v>0</v>
      </c>
      <c r="AI35" s="321">
        <f t="shared" si="38"/>
        <v>3303</v>
      </c>
      <c r="AJ35" s="321">
        <f t="shared" si="39"/>
        <v>0</v>
      </c>
      <c r="AK35" s="321">
        <f t="shared" si="40"/>
        <v>550</v>
      </c>
      <c r="AL35" s="321">
        <f t="shared" si="41"/>
        <v>0</v>
      </c>
      <c r="AM35" s="321">
        <f t="shared" si="42"/>
        <v>16930</v>
      </c>
      <c r="AN35" s="321">
        <f t="shared" si="43"/>
        <v>0</v>
      </c>
      <c r="AO35" s="321">
        <f>IF(Data!O$11="CPS",(ROUND(C35*10%,0.1)+ROUND(E35*10%,0.1))-(ROUND(P35*10%,0.1)+ROUND(Q35*10%,0.1)),0)</f>
        <v>0</v>
      </c>
      <c r="AP35" s="259">
        <f t="shared" si="19"/>
        <v>16930</v>
      </c>
    </row>
    <row r="36" spans="1:42" s="255" customFormat="1" ht="20.25" customHeight="1">
      <c r="A36" s="329">
        <v>26</v>
      </c>
      <c r="B36" s="320" t="str">
        <f>Data!AM240</f>
        <v>Aug, 2020</v>
      </c>
      <c r="C36" s="321">
        <f>IF(A36&gt;Data!AM$303,0,Data!AV240)</f>
        <v>58850</v>
      </c>
      <c r="D36" s="322">
        <f>IF(C36&gt;0,Data!$L$23+Data!M$24,0)</f>
        <v>35</v>
      </c>
      <c r="E36" s="330">
        <f t="shared" si="27"/>
        <v>4284</v>
      </c>
      <c r="F36" s="322">
        <f t="shared" si="49"/>
        <v>10</v>
      </c>
      <c r="G36" s="321">
        <f t="shared" si="44"/>
        <v>2000</v>
      </c>
      <c r="H36" s="321">
        <f>IF(C36&gt;0,Data!G$28,0)</f>
        <v>30</v>
      </c>
      <c r="I36" s="321">
        <f>IF(C36&gt;0,Data!F$23,0)</f>
        <v>390</v>
      </c>
      <c r="J36" s="321">
        <f>IF(C36&gt;0,Data!BB240,0)</f>
        <v>14124</v>
      </c>
      <c r="K36" s="323">
        <f t="shared" si="45"/>
        <v>0</v>
      </c>
      <c r="L36" s="321">
        <f>IF(C36&gt;0,Data!BL240,0)</f>
        <v>1250</v>
      </c>
      <c r="M36" s="322">
        <v>0</v>
      </c>
      <c r="N36" s="321">
        <f t="shared" si="28"/>
        <v>80973</v>
      </c>
      <c r="O36" s="321">
        <f>IF(Data!P$23="Yes",0,IF(N36&gt;=20000,200,IF(N36&gt;=15000,150,IF(N36&gt;=10000,100,0))))</f>
        <v>0</v>
      </c>
      <c r="P36" s="321">
        <f>IF(C36&gt;0,Data!AU240,0)</f>
        <v>36070</v>
      </c>
      <c r="Q36" s="321">
        <f t="shared" si="29"/>
        <v>13987</v>
      </c>
      <c r="R36" s="321">
        <f t="shared" si="30"/>
        <v>50057</v>
      </c>
      <c r="S36" s="324">
        <f t="shared" si="31"/>
        <v>35</v>
      </c>
      <c r="T36" s="331">
        <f t="shared" si="46"/>
        <v>10</v>
      </c>
      <c r="U36" s="321">
        <f>IF(Data!P$23="Yes",MIN(ROUND(P36*10%,0.1),2000),0)</f>
        <v>2000</v>
      </c>
      <c r="V36" s="321">
        <f t="shared" si="47"/>
        <v>30</v>
      </c>
      <c r="W36" s="321">
        <f t="shared" si="48"/>
        <v>390</v>
      </c>
      <c r="X36" s="321">
        <f>IF(P36&gt;0,Data!AY240,0)</f>
        <v>10821</v>
      </c>
      <c r="Y36" s="325">
        <f>IF(P36&gt;0,IF(Data!J$27="Yes",MIN(ROUND(P36*8%,0.1),2000),0),0)</f>
        <v>0</v>
      </c>
      <c r="Z36" s="321">
        <f>IF(P36&gt;0,Data!BH240,0)</f>
        <v>700</v>
      </c>
      <c r="AA36" s="322">
        <v>0</v>
      </c>
      <c r="AB36" s="321">
        <f t="shared" si="32"/>
        <v>64043</v>
      </c>
      <c r="AC36" s="326">
        <f>IF(Data!P$23="Yes",0,IF(AB36&gt;=20000,200,IF(AB36&gt;=15000,150,IF(AB36&gt;=10000,100,IF(AB36&gt;=8000,80,0)))))</f>
        <v>0</v>
      </c>
      <c r="AD36" s="327">
        <f t="shared" si="33"/>
        <v>8793</v>
      </c>
      <c r="AE36" s="321">
        <f t="shared" si="34"/>
        <v>4284</v>
      </c>
      <c r="AF36" s="321">
        <f t="shared" si="35"/>
        <v>0</v>
      </c>
      <c r="AG36" s="321">
        <f t="shared" si="36"/>
        <v>0</v>
      </c>
      <c r="AH36" s="321">
        <f t="shared" si="37"/>
        <v>0</v>
      </c>
      <c r="AI36" s="321">
        <f t="shared" si="38"/>
        <v>3303</v>
      </c>
      <c r="AJ36" s="321">
        <f t="shared" si="39"/>
        <v>0</v>
      </c>
      <c r="AK36" s="321">
        <f t="shared" si="40"/>
        <v>550</v>
      </c>
      <c r="AL36" s="321">
        <f t="shared" si="41"/>
        <v>0</v>
      </c>
      <c r="AM36" s="321">
        <f t="shared" si="42"/>
        <v>16930</v>
      </c>
      <c r="AN36" s="321">
        <f t="shared" si="43"/>
        <v>0</v>
      </c>
      <c r="AO36" s="321">
        <f>IF(Data!O$11="CPS",(ROUND(C36*10%,0.1)+ROUND(E36*10%,0.1))-(ROUND(P36*10%,0.1)+ROUND(Q36*10%,0.1)),0)</f>
        <v>0</v>
      </c>
      <c r="AP36" s="259">
        <f t="shared" si="19"/>
        <v>16930</v>
      </c>
    </row>
    <row r="37" spans="1:42" s="255" customFormat="1" ht="20.25" customHeight="1">
      <c r="A37" s="329">
        <v>27</v>
      </c>
      <c r="B37" s="320" t="str">
        <f>Data!AM241</f>
        <v>Sep, 2020</v>
      </c>
      <c r="C37" s="321">
        <f>IF(A37&gt;Data!AM$303,0,Data!AV241)</f>
        <v>58850</v>
      </c>
      <c r="D37" s="322">
        <f>IF(C37&gt;0,Data!$L$23+Data!M$24,0)</f>
        <v>35</v>
      </c>
      <c r="E37" s="330">
        <f t="shared" si="27"/>
        <v>4284</v>
      </c>
      <c r="F37" s="322">
        <f t="shared" si="49"/>
        <v>10</v>
      </c>
      <c r="G37" s="321">
        <f t="shared" si="44"/>
        <v>2000</v>
      </c>
      <c r="H37" s="321">
        <f>IF(C37&gt;0,Data!G$28,0)</f>
        <v>30</v>
      </c>
      <c r="I37" s="321">
        <f>IF(C37&gt;0,Data!F$23,0)</f>
        <v>390</v>
      </c>
      <c r="J37" s="321">
        <f>IF(C37&gt;0,Data!BB241,0)</f>
        <v>14124</v>
      </c>
      <c r="K37" s="323">
        <f t="shared" si="45"/>
        <v>0</v>
      </c>
      <c r="L37" s="321">
        <f>IF(C37&gt;0,Data!BL241,0)</f>
        <v>1250</v>
      </c>
      <c r="M37" s="322">
        <v>0</v>
      </c>
      <c r="N37" s="321">
        <f t="shared" si="28"/>
        <v>80973</v>
      </c>
      <c r="O37" s="321">
        <f>IF(Data!P$23="Yes",0,IF(N37&gt;=20000,200,IF(N37&gt;=15000,150,IF(N37&gt;=10000,100,0))))</f>
        <v>0</v>
      </c>
      <c r="P37" s="321">
        <f>IF(C37&gt;0,Data!AU241,0)</f>
        <v>36070</v>
      </c>
      <c r="Q37" s="321">
        <f t="shared" si="29"/>
        <v>13987</v>
      </c>
      <c r="R37" s="321">
        <f t="shared" si="30"/>
        <v>50057</v>
      </c>
      <c r="S37" s="324">
        <f t="shared" si="31"/>
        <v>35</v>
      </c>
      <c r="T37" s="331">
        <f t="shared" si="46"/>
        <v>10</v>
      </c>
      <c r="U37" s="321">
        <f>IF(Data!P$23="Yes",MIN(ROUND(P37*10%,0.1),2000),0)</f>
        <v>2000</v>
      </c>
      <c r="V37" s="321">
        <f t="shared" si="47"/>
        <v>30</v>
      </c>
      <c r="W37" s="321">
        <f t="shared" si="48"/>
        <v>390</v>
      </c>
      <c r="X37" s="321">
        <f>IF(P37&gt;0,Data!AY241,0)</f>
        <v>10821</v>
      </c>
      <c r="Y37" s="325">
        <f>IF(P37&gt;0,IF(Data!J$27="Yes",MIN(ROUND(P37*8%,0.1),2000),0),0)</f>
        <v>0</v>
      </c>
      <c r="Z37" s="321">
        <f>IF(P37&gt;0,Data!BH241,0)</f>
        <v>700</v>
      </c>
      <c r="AA37" s="322">
        <v>0</v>
      </c>
      <c r="AB37" s="321">
        <f t="shared" si="32"/>
        <v>64043</v>
      </c>
      <c r="AC37" s="326">
        <f>IF(Data!P$23="Yes",0,IF(AB37&gt;=20000,200,IF(AB37&gt;=15000,150,IF(AB37&gt;=10000,100,IF(AB37&gt;=8000,80,0)))))</f>
        <v>0</v>
      </c>
      <c r="AD37" s="327">
        <f t="shared" si="33"/>
        <v>8793</v>
      </c>
      <c r="AE37" s="321">
        <f t="shared" si="34"/>
        <v>4284</v>
      </c>
      <c r="AF37" s="321">
        <f t="shared" si="35"/>
        <v>0</v>
      </c>
      <c r="AG37" s="321">
        <f t="shared" si="36"/>
        <v>0</v>
      </c>
      <c r="AH37" s="321">
        <f t="shared" si="37"/>
        <v>0</v>
      </c>
      <c r="AI37" s="321">
        <f t="shared" si="38"/>
        <v>3303</v>
      </c>
      <c r="AJ37" s="321">
        <f t="shared" si="39"/>
        <v>0</v>
      </c>
      <c r="AK37" s="321">
        <f t="shared" si="40"/>
        <v>550</v>
      </c>
      <c r="AL37" s="321">
        <f t="shared" si="41"/>
        <v>0</v>
      </c>
      <c r="AM37" s="321">
        <f t="shared" si="42"/>
        <v>16930</v>
      </c>
      <c r="AN37" s="321">
        <f t="shared" si="43"/>
        <v>0</v>
      </c>
      <c r="AO37" s="321">
        <f>IF(Data!O$11="CPS",(ROUND(C37*10%,0.1)+ROUND(E37*10%,0.1))-(ROUND(P37*10%,0.1)+ROUND(Q37*10%,0.1)),0)</f>
        <v>0</v>
      </c>
      <c r="AP37" s="259">
        <f t="shared" si="19"/>
        <v>16930</v>
      </c>
    </row>
    <row r="38" spans="1:42" s="255" customFormat="1" ht="20.25" customHeight="1">
      <c r="A38" s="329">
        <v>28</v>
      </c>
      <c r="B38" s="320" t="str">
        <f>Data!AM242</f>
        <v>Oct, 2020</v>
      </c>
      <c r="C38" s="321">
        <f>IF(A38&gt;Data!AM$303,0,Data!AV242)</f>
        <v>60480</v>
      </c>
      <c r="D38" s="322">
        <f>IF(C38&gt;0,Data!$L$23+Data!M$24,0)</f>
        <v>35</v>
      </c>
      <c r="E38" s="330">
        <f t="shared" si="27"/>
        <v>4403</v>
      </c>
      <c r="F38" s="322">
        <f t="shared" si="49"/>
        <v>10</v>
      </c>
      <c r="G38" s="321">
        <f t="shared" si="44"/>
        <v>2000</v>
      </c>
      <c r="H38" s="321">
        <f>IF(C38&gt;0,Data!G$28,0)</f>
        <v>30</v>
      </c>
      <c r="I38" s="321">
        <f>IF(C38&gt;0,Data!F$23,0)</f>
        <v>390</v>
      </c>
      <c r="J38" s="321">
        <f>IF(C38&gt;0,Data!BB242,0)</f>
        <v>14515</v>
      </c>
      <c r="K38" s="323">
        <f t="shared" si="45"/>
        <v>0</v>
      </c>
      <c r="L38" s="321">
        <f>IF(C38&gt;0,Data!BL242,0)</f>
        <v>1250</v>
      </c>
      <c r="M38" s="322">
        <v>0</v>
      </c>
      <c r="N38" s="321">
        <f t="shared" si="28"/>
        <v>83113</v>
      </c>
      <c r="O38" s="321">
        <f>IF(Data!P$23="Yes",0,IF(N38&gt;=20000,200,IF(N38&gt;=15000,150,IF(N38&gt;=10000,100,0))))</f>
        <v>0</v>
      </c>
      <c r="P38" s="321">
        <f>IF(C38&gt;0,Data!AU242,0)</f>
        <v>37100</v>
      </c>
      <c r="Q38" s="321">
        <f t="shared" si="29"/>
        <v>14386</v>
      </c>
      <c r="R38" s="321">
        <f t="shared" si="30"/>
        <v>51486</v>
      </c>
      <c r="S38" s="324">
        <f t="shared" si="31"/>
        <v>35</v>
      </c>
      <c r="T38" s="331">
        <f t="shared" si="46"/>
        <v>10</v>
      </c>
      <c r="U38" s="321">
        <f>IF(Data!P$23="Yes",MIN(ROUND(P38*10%,0.1),2000),0)</f>
        <v>2000</v>
      </c>
      <c r="V38" s="321">
        <f t="shared" si="47"/>
        <v>30</v>
      </c>
      <c r="W38" s="321">
        <f t="shared" si="48"/>
        <v>390</v>
      </c>
      <c r="X38" s="321">
        <f>IF(P38&gt;0,Data!AY242,0)</f>
        <v>11130</v>
      </c>
      <c r="Y38" s="325">
        <f>IF(P38&gt;0,IF(Data!J$27="Yes",MIN(ROUND(P38*8%,0.1),2000),0),0)</f>
        <v>0</v>
      </c>
      <c r="Z38" s="321">
        <f>IF(P38&gt;0,Data!BH242,0)</f>
        <v>700</v>
      </c>
      <c r="AA38" s="322">
        <v>0</v>
      </c>
      <c r="AB38" s="321">
        <f t="shared" si="32"/>
        <v>65781</v>
      </c>
      <c r="AC38" s="326">
        <f>IF(Data!P$23="Yes",0,IF(AB38&gt;=20000,200,IF(AB38&gt;=15000,150,IF(AB38&gt;=10000,100,IF(AB38&gt;=8000,80,0)))))</f>
        <v>0</v>
      </c>
      <c r="AD38" s="327">
        <f t="shared" si="33"/>
        <v>8994</v>
      </c>
      <c r="AE38" s="321">
        <f t="shared" si="34"/>
        <v>4403</v>
      </c>
      <c r="AF38" s="321">
        <f t="shared" si="35"/>
        <v>0</v>
      </c>
      <c r="AG38" s="321">
        <f t="shared" si="36"/>
        <v>0</v>
      </c>
      <c r="AH38" s="321">
        <f t="shared" si="37"/>
        <v>0</v>
      </c>
      <c r="AI38" s="321">
        <f t="shared" si="38"/>
        <v>3385</v>
      </c>
      <c r="AJ38" s="321">
        <f t="shared" si="39"/>
        <v>0</v>
      </c>
      <c r="AK38" s="321">
        <f t="shared" si="40"/>
        <v>550</v>
      </c>
      <c r="AL38" s="321">
        <f t="shared" si="41"/>
        <v>0</v>
      </c>
      <c r="AM38" s="321">
        <f t="shared" si="42"/>
        <v>17332</v>
      </c>
      <c r="AN38" s="321">
        <f t="shared" si="43"/>
        <v>0</v>
      </c>
      <c r="AO38" s="321">
        <f>IF(Data!O$11="CPS",(ROUND(C38*10%,0.1)+ROUND(E38*10%,0.1))-(ROUND(P38*10%,0.1)+ROUND(Q38*10%,0.1)),0)</f>
        <v>0</v>
      </c>
      <c r="AP38" s="259">
        <f t="shared" si="19"/>
        <v>17332</v>
      </c>
    </row>
    <row r="39" spans="1:42" s="255" customFormat="1" ht="20.25" customHeight="1">
      <c r="A39" s="329">
        <v>29</v>
      </c>
      <c r="B39" s="320" t="str">
        <f>Data!AM243</f>
        <v>Nov, 2020</v>
      </c>
      <c r="C39" s="321">
        <f>IF(A39&gt;Data!AM$303,0,Data!AV243)</f>
        <v>62110</v>
      </c>
      <c r="D39" s="322">
        <f>IF(C39&gt;0,Data!$L$23+Data!M$24,0)</f>
        <v>35</v>
      </c>
      <c r="E39" s="330">
        <f t="shared" si="27"/>
        <v>4522</v>
      </c>
      <c r="F39" s="322">
        <f t="shared" si="49"/>
        <v>10</v>
      </c>
      <c r="G39" s="321">
        <f t="shared" si="44"/>
        <v>2000</v>
      </c>
      <c r="H39" s="321">
        <f>IF(C39&gt;0,Data!G$28,0)</f>
        <v>30</v>
      </c>
      <c r="I39" s="321">
        <f>IF(C39&gt;0,Data!F$23,0)</f>
        <v>390</v>
      </c>
      <c r="J39" s="321">
        <f>IF(C39&gt;0,Data!BB243,0)</f>
        <v>14906</v>
      </c>
      <c r="K39" s="323">
        <f t="shared" si="45"/>
        <v>0</v>
      </c>
      <c r="L39" s="321">
        <f>IF(C39&gt;0,Data!BL243,0)</f>
        <v>1250</v>
      </c>
      <c r="M39" s="322">
        <v>0</v>
      </c>
      <c r="N39" s="321">
        <f t="shared" si="28"/>
        <v>85253</v>
      </c>
      <c r="O39" s="321">
        <f>IF(Data!P$23="Yes",0,IF(N39&gt;=20000,200,IF(N39&gt;=15000,150,IF(N39&gt;=10000,100,0))))</f>
        <v>0</v>
      </c>
      <c r="P39" s="321">
        <f>IF(C39&gt;0,Data!AU243,0)</f>
        <v>38130</v>
      </c>
      <c r="Q39" s="321">
        <f t="shared" si="29"/>
        <v>14785</v>
      </c>
      <c r="R39" s="321">
        <f t="shared" si="30"/>
        <v>52915</v>
      </c>
      <c r="S39" s="324">
        <f t="shared" si="31"/>
        <v>35</v>
      </c>
      <c r="T39" s="331">
        <f t="shared" si="46"/>
        <v>10</v>
      </c>
      <c r="U39" s="321">
        <f>IF(Data!P$23="Yes",MIN(ROUND(P39*10%,0.1),2000),0)</f>
        <v>2000</v>
      </c>
      <c r="V39" s="321">
        <f t="shared" si="47"/>
        <v>30</v>
      </c>
      <c r="W39" s="321">
        <f t="shared" si="48"/>
        <v>390</v>
      </c>
      <c r="X39" s="321">
        <f>IF(P39&gt;0,Data!AY243,0)</f>
        <v>11439</v>
      </c>
      <c r="Y39" s="325">
        <f>IF(P39&gt;0,IF(Data!J$27="Yes",MIN(ROUND(P39*8%,0.1),2000),0),0)</f>
        <v>0</v>
      </c>
      <c r="Z39" s="321">
        <f>IF(P39&gt;0,Data!BH243,0)</f>
        <v>1000</v>
      </c>
      <c r="AA39" s="322">
        <v>0</v>
      </c>
      <c r="AB39" s="321">
        <f t="shared" si="32"/>
        <v>67819</v>
      </c>
      <c r="AC39" s="326">
        <f>IF(Data!P$23="Yes",0,IF(AB39&gt;=20000,200,IF(AB39&gt;=15000,150,IF(AB39&gt;=10000,100,IF(AB39&gt;=8000,80,0)))))</f>
        <v>0</v>
      </c>
      <c r="AD39" s="327">
        <f t="shared" si="33"/>
        <v>9195</v>
      </c>
      <c r="AE39" s="321">
        <f t="shared" si="34"/>
        <v>4522</v>
      </c>
      <c r="AF39" s="321">
        <f t="shared" si="35"/>
        <v>0</v>
      </c>
      <c r="AG39" s="321">
        <f t="shared" si="36"/>
        <v>0</v>
      </c>
      <c r="AH39" s="321">
        <f t="shared" si="37"/>
        <v>0</v>
      </c>
      <c r="AI39" s="321">
        <f t="shared" si="38"/>
        <v>3467</v>
      </c>
      <c r="AJ39" s="321">
        <f t="shared" si="39"/>
        <v>0</v>
      </c>
      <c r="AK39" s="321">
        <f t="shared" si="40"/>
        <v>250</v>
      </c>
      <c r="AL39" s="321">
        <f t="shared" si="41"/>
        <v>0</v>
      </c>
      <c r="AM39" s="321">
        <f t="shared" si="42"/>
        <v>17434</v>
      </c>
      <c r="AN39" s="321">
        <f t="shared" si="43"/>
        <v>0</v>
      </c>
      <c r="AO39" s="321">
        <f>IF(Data!O$11="CPS",(ROUND(C39*10%,0.1)+ROUND(E39*10%,0.1))-(ROUND(P39*10%,0.1)+ROUND(Q39*10%,0.1)),0)</f>
        <v>0</v>
      </c>
      <c r="AP39" s="259">
        <f t="shared" si="19"/>
        <v>17434</v>
      </c>
    </row>
    <row r="40" spans="1:42" s="255" customFormat="1" ht="20.25" customHeight="1">
      <c r="A40" s="329">
        <v>30</v>
      </c>
      <c r="B40" s="320" t="str">
        <f>Data!AM244</f>
        <v>Dec, 2020</v>
      </c>
      <c r="C40" s="321">
        <f>IF(A40&gt;Data!AM$303,0,Data!AV244)</f>
        <v>62110</v>
      </c>
      <c r="D40" s="322">
        <f>IF(C40&gt;0,Data!$L$23+Data!M$24,0)</f>
        <v>35</v>
      </c>
      <c r="E40" s="330">
        <f t="shared" si="27"/>
        <v>4522</v>
      </c>
      <c r="F40" s="322">
        <f t="shared" si="49"/>
        <v>10</v>
      </c>
      <c r="G40" s="321">
        <f t="shared" si="44"/>
        <v>2000</v>
      </c>
      <c r="H40" s="321">
        <f>IF(C40&gt;0,Data!G$28,0)</f>
        <v>30</v>
      </c>
      <c r="I40" s="321">
        <f>IF(C40&gt;0,Data!F$23,0)</f>
        <v>390</v>
      </c>
      <c r="J40" s="321">
        <f>IF(C40&gt;0,Data!BB244,0)</f>
        <v>14906</v>
      </c>
      <c r="K40" s="323">
        <f t="shared" si="45"/>
        <v>0</v>
      </c>
      <c r="L40" s="321">
        <f>IF(C40&gt;0,Data!BL244,0)</f>
        <v>1250</v>
      </c>
      <c r="M40" s="322">
        <v>0</v>
      </c>
      <c r="N40" s="321">
        <f t="shared" si="28"/>
        <v>85253</v>
      </c>
      <c r="O40" s="321">
        <f>IF(Data!P$23="Yes",0,IF(N40&gt;=20000,200,IF(N40&gt;=15000,150,IF(N40&gt;=10000,100,0))))</f>
        <v>0</v>
      </c>
      <c r="P40" s="321">
        <f>IF(C40&gt;0,Data!AU244,0)</f>
        <v>38130</v>
      </c>
      <c r="Q40" s="321">
        <f t="shared" si="29"/>
        <v>14785</v>
      </c>
      <c r="R40" s="321">
        <f t="shared" si="30"/>
        <v>52915</v>
      </c>
      <c r="S40" s="324">
        <f t="shared" si="31"/>
        <v>35</v>
      </c>
      <c r="T40" s="331">
        <f t="shared" si="46"/>
        <v>10</v>
      </c>
      <c r="U40" s="321">
        <f>IF(Data!P$23="Yes",MIN(ROUND(P40*10%,0.1),2000),0)</f>
        <v>2000</v>
      </c>
      <c r="V40" s="321">
        <f t="shared" si="47"/>
        <v>30</v>
      </c>
      <c r="W40" s="321">
        <f t="shared" si="48"/>
        <v>390</v>
      </c>
      <c r="X40" s="321">
        <f>IF(P40&gt;0,Data!AY244,0)</f>
        <v>11439</v>
      </c>
      <c r="Y40" s="325">
        <f>IF(P40&gt;0,IF(Data!J$27="Yes",MIN(ROUND(P40*8%,0.1),2000),0),0)</f>
        <v>0</v>
      </c>
      <c r="Z40" s="321">
        <f>IF(P40&gt;0,Data!BH244,0)</f>
        <v>1000</v>
      </c>
      <c r="AA40" s="322">
        <v>0</v>
      </c>
      <c r="AB40" s="321">
        <f t="shared" si="32"/>
        <v>67819</v>
      </c>
      <c r="AC40" s="326">
        <f>IF(Data!P$23="Yes",0,IF(AB40&gt;=20000,200,IF(AB40&gt;=15000,150,IF(AB40&gt;=10000,100,IF(AB40&gt;=8000,80,0)))))</f>
        <v>0</v>
      </c>
      <c r="AD40" s="327">
        <f t="shared" si="33"/>
        <v>9195</v>
      </c>
      <c r="AE40" s="321">
        <f t="shared" si="34"/>
        <v>4522</v>
      </c>
      <c r="AF40" s="321">
        <f t="shared" si="35"/>
        <v>0</v>
      </c>
      <c r="AG40" s="321">
        <f t="shared" si="36"/>
        <v>0</v>
      </c>
      <c r="AH40" s="321">
        <f t="shared" si="37"/>
        <v>0</v>
      </c>
      <c r="AI40" s="321">
        <f t="shared" si="38"/>
        <v>3467</v>
      </c>
      <c r="AJ40" s="321">
        <f t="shared" si="39"/>
        <v>0</v>
      </c>
      <c r="AK40" s="321">
        <f t="shared" si="40"/>
        <v>250</v>
      </c>
      <c r="AL40" s="321">
        <f t="shared" si="41"/>
        <v>0</v>
      </c>
      <c r="AM40" s="321">
        <f t="shared" si="42"/>
        <v>17434</v>
      </c>
      <c r="AN40" s="321">
        <f t="shared" si="43"/>
        <v>0</v>
      </c>
      <c r="AO40" s="321">
        <f>IF(Data!O$11="CPS",(ROUND(C40*10%,0.1)+ROUND(E40*10%,0.1))-(ROUND(P40*10%,0.1)+ROUND(Q40*10%,0.1)),0)</f>
        <v>0</v>
      </c>
      <c r="AP40" s="259">
        <f t="shared" si="19"/>
        <v>17434</v>
      </c>
    </row>
    <row r="41" spans="1:42" s="255" customFormat="1" ht="20.25" customHeight="1">
      <c r="A41" s="329">
        <v>31</v>
      </c>
      <c r="B41" s="320" t="str">
        <f>Data!AM245</f>
        <v>Jan, 2021</v>
      </c>
      <c r="C41" s="321">
        <f>IF(A41&gt;Data!AM$303,0,Data!AV245)</f>
        <v>62110</v>
      </c>
      <c r="D41" s="322">
        <f>IF(C41&gt;0,Data!$L$23+Data!M$24,0)</f>
        <v>35</v>
      </c>
      <c r="E41" s="330">
        <f t="shared" si="27"/>
        <v>4522</v>
      </c>
      <c r="F41" s="322">
        <f t="shared" si="49"/>
        <v>10</v>
      </c>
      <c r="G41" s="321">
        <f t="shared" si="44"/>
        <v>2000</v>
      </c>
      <c r="H41" s="321">
        <f>IF(C41&gt;0,Data!G$28,0)</f>
        <v>30</v>
      </c>
      <c r="I41" s="321">
        <f>IF(C41&gt;0,Data!F$23,0)</f>
        <v>390</v>
      </c>
      <c r="J41" s="321">
        <f>IF(C41&gt;0,Data!BB245,0)</f>
        <v>14906</v>
      </c>
      <c r="K41" s="323">
        <f t="shared" si="45"/>
        <v>0</v>
      </c>
      <c r="L41" s="321">
        <f>IF(C41&gt;0,Data!BL245,0)</f>
        <v>1250</v>
      </c>
      <c r="M41" s="322">
        <v>0</v>
      </c>
      <c r="N41" s="321">
        <f t="shared" si="28"/>
        <v>85253</v>
      </c>
      <c r="O41" s="321">
        <f>IF(Data!P$23="Yes",0,IF(N41&gt;=20000,200,IF(N41&gt;=15000,150,IF(N41&gt;=10000,100,0))))</f>
        <v>0</v>
      </c>
      <c r="P41" s="321">
        <f>IF(C41&gt;0,Data!AU245,0)</f>
        <v>38130</v>
      </c>
      <c r="Q41" s="321">
        <f t="shared" si="29"/>
        <v>14785</v>
      </c>
      <c r="R41" s="321">
        <f t="shared" si="30"/>
        <v>52915</v>
      </c>
      <c r="S41" s="324">
        <f t="shared" si="31"/>
        <v>35</v>
      </c>
      <c r="T41" s="331">
        <f t="shared" si="46"/>
        <v>10</v>
      </c>
      <c r="U41" s="321">
        <f>IF(Data!P$23="Yes",MIN(ROUND(P41*10%,0.1),2000),0)</f>
        <v>2000</v>
      </c>
      <c r="V41" s="321">
        <f t="shared" si="47"/>
        <v>30</v>
      </c>
      <c r="W41" s="321">
        <f t="shared" si="48"/>
        <v>390</v>
      </c>
      <c r="X41" s="321">
        <f>IF(P41&gt;0,Data!AY245,0)</f>
        <v>11439</v>
      </c>
      <c r="Y41" s="325">
        <f>IF(P41&gt;0,IF(Data!J$27="Yes",MIN(ROUND(P41*8%,0.1),2000),0),0)</f>
        <v>0</v>
      </c>
      <c r="Z41" s="321">
        <f>IF(P41&gt;0,Data!BH245,0)</f>
        <v>1000</v>
      </c>
      <c r="AA41" s="322">
        <v>0</v>
      </c>
      <c r="AB41" s="321">
        <f t="shared" si="32"/>
        <v>67819</v>
      </c>
      <c r="AC41" s="326">
        <f>IF(Data!P$23="Yes",0,IF(AB41&gt;=20000,200,IF(AB41&gt;=15000,150,IF(AB41&gt;=10000,100,IF(AB41&gt;=8000,80,0)))))</f>
        <v>0</v>
      </c>
      <c r="AD41" s="327">
        <f t="shared" si="33"/>
        <v>9195</v>
      </c>
      <c r="AE41" s="321">
        <f t="shared" si="34"/>
        <v>4522</v>
      </c>
      <c r="AF41" s="321">
        <f t="shared" si="35"/>
        <v>0</v>
      </c>
      <c r="AG41" s="321">
        <f t="shared" si="36"/>
        <v>0</v>
      </c>
      <c r="AH41" s="321">
        <f t="shared" si="37"/>
        <v>0</v>
      </c>
      <c r="AI41" s="321">
        <f t="shared" si="38"/>
        <v>3467</v>
      </c>
      <c r="AJ41" s="321">
        <f t="shared" si="39"/>
        <v>0</v>
      </c>
      <c r="AK41" s="321">
        <f t="shared" si="40"/>
        <v>250</v>
      </c>
      <c r="AL41" s="321">
        <f t="shared" si="41"/>
        <v>0</v>
      </c>
      <c r="AM41" s="321">
        <f t="shared" si="42"/>
        <v>17434</v>
      </c>
      <c r="AN41" s="321">
        <f t="shared" si="43"/>
        <v>0</v>
      </c>
      <c r="AO41" s="321">
        <f>IF(Data!O$11="CPS",(ROUND(C41*10%,0.1)+ROUND(E41*10%,0.1))-(ROUND(P41*10%,0.1)+ROUND(Q41*10%,0.1)),0)</f>
        <v>0</v>
      </c>
      <c r="AP41" s="259">
        <f t="shared" si="19"/>
        <v>17434</v>
      </c>
    </row>
    <row r="42" spans="1:42" s="255" customFormat="1" ht="20.25" customHeight="1">
      <c r="A42" s="329">
        <v>32</v>
      </c>
      <c r="B42" s="320" t="str">
        <f>Data!AM246</f>
        <v>Feb, 2021</v>
      </c>
      <c r="C42" s="321">
        <f>IF(A42&gt;Data!AM$303,0,Data!AV246)</f>
        <v>62110</v>
      </c>
      <c r="D42" s="322">
        <f>IF(C42&gt;0,Data!$L$23+Data!M$24,0)</f>
        <v>35</v>
      </c>
      <c r="E42" s="330">
        <f t="shared" si="27"/>
        <v>4522</v>
      </c>
      <c r="F42" s="322">
        <f t="shared" si="49"/>
        <v>10</v>
      </c>
      <c r="G42" s="321">
        <f t="shared" si="44"/>
        <v>2000</v>
      </c>
      <c r="H42" s="321">
        <f>IF(C42&gt;0,Data!G$28,0)</f>
        <v>30</v>
      </c>
      <c r="I42" s="321">
        <f>IF(C42&gt;0,Data!F$23,0)</f>
        <v>390</v>
      </c>
      <c r="J42" s="321">
        <f>IF(C42&gt;0,Data!BB246,0)</f>
        <v>14906</v>
      </c>
      <c r="K42" s="323">
        <f t="shared" si="45"/>
        <v>0</v>
      </c>
      <c r="L42" s="321">
        <f>IF(C42&gt;0,Data!BL246,0)</f>
        <v>1250</v>
      </c>
      <c r="M42" s="322">
        <v>0</v>
      </c>
      <c r="N42" s="321">
        <f t="shared" si="28"/>
        <v>85253</v>
      </c>
      <c r="O42" s="321">
        <f>IF(Data!P$23="Yes",0,IF(N42&gt;=20000,200,IF(N42&gt;=15000,150,IF(N42&gt;=10000,100,0))))</f>
        <v>0</v>
      </c>
      <c r="P42" s="321">
        <f>IF(C42&gt;0,Data!AU246,0)</f>
        <v>38130</v>
      </c>
      <c r="Q42" s="321">
        <f t="shared" si="29"/>
        <v>14785</v>
      </c>
      <c r="R42" s="321">
        <f t="shared" si="30"/>
        <v>52915</v>
      </c>
      <c r="S42" s="324">
        <f t="shared" si="31"/>
        <v>35</v>
      </c>
      <c r="T42" s="331">
        <f t="shared" si="46"/>
        <v>10</v>
      </c>
      <c r="U42" s="321">
        <f>IF(Data!P$23="Yes",MIN(ROUND(P42*10%,0.1),2000),0)</f>
        <v>2000</v>
      </c>
      <c r="V42" s="321">
        <f t="shared" si="47"/>
        <v>30</v>
      </c>
      <c r="W42" s="321">
        <f t="shared" si="48"/>
        <v>390</v>
      </c>
      <c r="X42" s="321">
        <f>IF(P42&gt;0,Data!AY246,0)</f>
        <v>11439</v>
      </c>
      <c r="Y42" s="325">
        <f>IF(P42&gt;0,IF(Data!J$27="Yes",MIN(ROUND(P42*8%,0.1),2000),0),0)</f>
        <v>0</v>
      </c>
      <c r="Z42" s="321">
        <f>IF(P42&gt;0,Data!BH246,0)</f>
        <v>1000</v>
      </c>
      <c r="AA42" s="322">
        <v>0</v>
      </c>
      <c r="AB42" s="321">
        <f t="shared" si="32"/>
        <v>67819</v>
      </c>
      <c r="AC42" s="326">
        <f>IF(Data!P$23="Yes",0,IF(AB42&gt;=20000,200,IF(AB42&gt;=15000,150,IF(AB42&gt;=10000,100,IF(AB42&gt;=8000,80,0)))))</f>
        <v>0</v>
      </c>
      <c r="AD42" s="327">
        <f t="shared" si="33"/>
        <v>9195</v>
      </c>
      <c r="AE42" s="321">
        <f t="shared" si="34"/>
        <v>4522</v>
      </c>
      <c r="AF42" s="321">
        <f t="shared" si="35"/>
        <v>0</v>
      </c>
      <c r="AG42" s="321">
        <f t="shared" si="36"/>
        <v>0</v>
      </c>
      <c r="AH42" s="321">
        <f t="shared" si="37"/>
        <v>0</v>
      </c>
      <c r="AI42" s="321">
        <f t="shared" si="38"/>
        <v>3467</v>
      </c>
      <c r="AJ42" s="321">
        <f t="shared" si="39"/>
        <v>0</v>
      </c>
      <c r="AK42" s="321">
        <f t="shared" si="40"/>
        <v>250</v>
      </c>
      <c r="AL42" s="321">
        <f t="shared" si="41"/>
        <v>0</v>
      </c>
      <c r="AM42" s="321">
        <f t="shared" si="42"/>
        <v>17434</v>
      </c>
      <c r="AN42" s="321">
        <f t="shared" si="43"/>
        <v>0</v>
      </c>
      <c r="AO42" s="321">
        <f>IF(Data!O$11="CPS",(ROUND(C42*10%,0.1)+ROUND(E42*10%,0.1))-(ROUND(P42*10%,0.1)+ROUND(Q42*10%,0.1)),0)</f>
        <v>0</v>
      </c>
      <c r="AP42" s="259">
        <f t="shared" si="19"/>
        <v>17434</v>
      </c>
    </row>
    <row r="43" spans="1:42" s="255" customFormat="1" ht="20.25" customHeight="1">
      <c r="A43" s="329">
        <v>33</v>
      </c>
      <c r="B43" s="320" t="str">
        <f>Data!AM247</f>
        <v>Mar, 2021</v>
      </c>
      <c r="C43" s="321">
        <f>IF(A43&gt;Data!AM$303,0,Data!AV247)</f>
        <v>62110</v>
      </c>
      <c r="D43" s="322">
        <f>IF(C43&gt;0,Data!$L$23+Data!M$24,0)</f>
        <v>35</v>
      </c>
      <c r="E43" s="330">
        <f t="shared" si="27"/>
        <v>4522</v>
      </c>
      <c r="F43" s="322">
        <f t="shared" si="49"/>
        <v>10</v>
      </c>
      <c r="G43" s="321">
        <f t="shared" si="44"/>
        <v>2000</v>
      </c>
      <c r="H43" s="321">
        <f>V43</f>
        <v>30</v>
      </c>
      <c r="I43" s="321">
        <f>IF(C43&gt;0,Data!F$23,0)</f>
        <v>390</v>
      </c>
      <c r="J43" s="321">
        <f>IF(C43&gt;0,Data!BB247,0)</f>
        <v>14906</v>
      </c>
      <c r="K43" s="323">
        <f t="shared" si="45"/>
        <v>0</v>
      </c>
      <c r="L43" s="321">
        <f>IF(C43&gt;0,Data!BL247,0)</f>
        <v>1250</v>
      </c>
      <c r="M43" s="322">
        <v>0</v>
      </c>
      <c r="N43" s="321">
        <f t="shared" si="28"/>
        <v>85253</v>
      </c>
      <c r="O43" s="321">
        <f>IF(Data!P$23="Yes",0,IF(N43&gt;=20000,200,IF(N43&gt;=15000,150,IF(N43&gt;=10000,100,0))))</f>
        <v>0</v>
      </c>
      <c r="P43" s="321">
        <f>IF(C43&gt;0,Data!AU247,0)</f>
        <v>38130</v>
      </c>
      <c r="Q43" s="321">
        <f t="shared" si="29"/>
        <v>14785</v>
      </c>
      <c r="R43" s="321">
        <f t="shared" si="30"/>
        <v>52915</v>
      </c>
      <c r="S43" s="324">
        <f t="shared" si="31"/>
        <v>35</v>
      </c>
      <c r="T43" s="331">
        <f>IF(P43&gt;0,T42,0)</f>
        <v>10</v>
      </c>
      <c r="U43" s="321">
        <f>IF(Data!P$23="Yes",MIN(ROUND(P43*10%,0.1),2000),0)</f>
        <v>2000</v>
      </c>
      <c r="V43" s="321">
        <f t="shared" si="47"/>
        <v>30</v>
      </c>
      <c r="W43" s="321">
        <f t="shared" si="48"/>
        <v>390</v>
      </c>
      <c r="X43" s="321">
        <f>IF(P43&gt;0,Data!AY247,0)</f>
        <v>11439</v>
      </c>
      <c r="Y43" s="325">
        <f>IF(P43&gt;0,IF(Data!J$27="Yes",MIN(ROUND(P43*8%,0.1),2000),0),0)</f>
        <v>0</v>
      </c>
      <c r="Z43" s="321">
        <f>IF(P43&gt;0,Data!BH247,0)</f>
        <v>1000</v>
      </c>
      <c r="AA43" s="322">
        <v>0</v>
      </c>
      <c r="AB43" s="321">
        <f t="shared" si="32"/>
        <v>67819</v>
      </c>
      <c r="AC43" s="326">
        <f>IF(Data!P$23="Yes",0,IF(AB43&gt;=20000,200,IF(AB43&gt;=15000,150,IF(AB43&gt;=10000,100,IF(AB43&gt;=8000,80,0)))))</f>
        <v>0</v>
      </c>
      <c r="AD43" s="327">
        <f t="shared" si="33"/>
        <v>9195</v>
      </c>
      <c r="AE43" s="321">
        <f t="shared" si="34"/>
        <v>4522</v>
      </c>
      <c r="AF43" s="321">
        <f t="shared" si="35"/>
        <v>0</v>
      </c>
      <c r="AG43" s="321">
        <f t="shared" si="36"/>
        <v>0</v>
      </c>
      <c r="AH43" s="321">
        <f t="shared" si="37"/>
        <v>0</v>
      </c>
      <c r="AI43" s="321">
        <f t="shared" si="38"/>
        <v>3467</v>
      </c>
      <c r="AJ43" s="321">
        <f t="shared" si="39"/>
        <v>0</v>
      </c>
      <c r="AK43" s="321">
        <f t="shared" si="40"/>
        <v>250</v>
      </c>
      <c r="AL43" s="321">
        <f t="shared" si="41"/>
        <v>0</v>
      </c>
      <c r="AM43" s="321">
        <f t="shared" si="42"/>
        <v>17434</v>
      </c>
      <c r="AN43" s="321">
        <f t="shared" si="43"/>
        <v>0</v>
      </c>
      <c r="AO43" s="321">
        <f>IF(Data!O$11="CPS",(ROUND(C43*10%,0.1)+ROUND(E43*10%,0.1))-(ROUND(P43*10%,0.1)+ROUND(Q43*10%,0.1)),0)</f>
        <v>0</v>
      </c>
      <c r="AP43" s="259">
        <f t="shared" si="19"/>
        <v>17434</v>
      </c>
    </row>
    <row r="44" spans="1:42" s="255" customFormat="1" ht="20.25" customHeight="1">
      <c r="A44" s="752" t="str">
        <f>IF(AND(Data!BT205&gt;=Data!AT236,Data!BT205&lt;Data!AQ248),CONCATENATE("AAS arrears         ",),"No AAS Arrears")</f>
        <v xml:space="preserve">AAS arrears         </v>
      </c>
      <c r="B44" s="753"/>
      <c r="C44" s="321">
        <f>IF(AND(Data!BT205&gt;=Data!AT236,Data!BT205&lt;Data!AQ248),Data!BV205,0)</f>
        <v>788</v>
      </c>
      <c r="D44" s="322">
        <v>0</v>
      </c>
      <c r="E44" s="330">
        <f>IF(AND(Data!BT205&gt;=Data!AT236,Data!BT205&lt;Data!AQ248),ROUND(C44*Data!BW205%,0.1),0)</f>
        <v>57</v>
      </c>
      <c r="F44" s="322">
        <v>0</v>
      </c>
      <c r="G44" s="321">
        <v>0</v>
      </c>
      <c r="H44" s="321">
        <v>0</v>
      </c>
      <c r="I44" s="321">
        <v>0</v>
      </c>
      <c r="J44" s="321">
        <f>IF(AND(Data!BT205&gt;=Data!AT236,Data!BT205&lt;Data!AQ248),ROUND(C44*Data!BX205%,0.1),0)</f>
        <v>189</v>
      </c>
      <c r="K44" s="321">
        <v>0</v>
      </c>
      <c r="L44" s="321">
        <v>0</v>
      </c>
      <c r="M44" s="322">
        <v>0</v>
      </c>
      <c r="N44" s="321">
        <f t="shared" si="28"/>
        <v>1034</v>
      </c>
      <c r="O44" s="321">
        <v>0</v>
      </c>
      <c r="P44" s="321">
        <f>IF(AND(Data!BT205&gt;=Data!AT236,Data!BT205&lt;Data!AQ248),Data!CA205,0)</f>
        <v>498</v>
      </c>
      <c r="Q44" s="321">
        <f>IF(AND(Data!BT205&gt;=Data!AT236,Data!BT205&lt;Data!AQ248),ROUND(P44*Data!CB205%,0.1),0)</f>
        <v>193</v>
      </c>
      <c r="R44" s="321">
        <f t="shared" si="30"/>
        <v>691</v>
      </c>
      <c r="S44" s="324">
        <v>0</v>
      </c>
      <c r="T44" s="331">
        <v>0</v>
      </c>
      <c r="U44" s="321">
        <v>0</v>
      </c>
      <c r="V44" s="321">
        <v>0</v>
      </c>
      <c r="W44" s="321">
        <v>0</v>
      </c>
      <c r="X44" s="321">
        <f>IF(AND(Data!BT205&gt;=Data!AT236,Data!BT205&lt;Data!AQ248),ROUND(P44*Data!CC205%,0.1),0)</f>
        <v>149</v>
      </c>
      <c r="Y44" s="321">
        <v>0</v>
      </c>
      <c r="Z44" s="321">
        <v>0</v>
      </c>
      <c r="AA44" s="324">
        <v>0</v>
      </c>
      <c r="AB44" s="321">
        <f t="shared" si="32"/>
        <v>840</v>
      </c>
      <c r="AC44" s="326">
        <v>0</v>
      </c>
      <c r="AD44" s="327">
        <f t="shared" si="33"/>
        <v>97</v>
      </c>
      <c r="AE44" s="321">
        <f t="shared" si="34"/>
        <v>57</v>
      </c>
      <c r="AF44" s="321">
        <f t="shared" si="35"/>
        <v>0</v>
      </c>
      <c r="AG44" s="321">
        <f t="shared" si="36"/>
        <v>0</v>
      </c>
      <c r="AH44" s="321">
        <f t="shared" si="37"/>
        <v>0</v>
      </c>
      <c r="AI44" s="321">
        <f t="shared" si="38"/>
        <v>40</v>
      </c>
      <c r="AJ44" s="321">
        <f t="shared" si="39"/>
        <v>0</v>
      </c>
      <c r="AK44" s="321">
        <f t="shared" si="40"/>
        <v>0</v>
      </c>
      <c r="AL44" s="321">
        <v>0</v>
      </c>
      <c r="AM44" s="321">
        <f t="shared" si="42"/>
        <v>194</v>
      </c>
      <c r="AN44" s="321">
        <f t="shared" si="43"/>
        <v>0</v>
      </c>
      <c r="AO44" s="321">
        <f>IF(Data!O$11="CPS",(ROUND(C44*10%,0.1)+ROUND(E44*10%,0.1))-(ROUND(P44*10%,0.1)+ROUND(Q44*10%,0.1)),0)</f>
        <v>0</v>
      </c>
      <c r="AP44" s="259">
        <f>AM44-AN44-AO44</f>
        <v>194</v>
      </c>
    </row>
    <row r="45" spans="1:42" s="255" customFormat="1" ht="28.5" customHeight="1">
      <c r="A45" s="752" t="str">
        <f>IF(AND(Data!BT206&gt;Data!AT236,Data!BT206&lt;Data!AQ248),CONCATENATE("Promotion Arrears         ",),IF(AND(Data!BT207&gt;Data!AT236,Data!BT207&lt;Data!AQ248),CONCATENATE("Promotion arrears         ",),"No Promotion Arrears"))</f>
        <v>No Promotion Arrears</v>
      </c>
      <c r="B45" s="753"/>
      <c r="C45" s="321">
        <f>IF(AND(Data!BT206&gt;Data!AT236,Data!BT206&lt;Data!AQ248),Data!BV206,IF(AND(Data!BT207&gt;Data!AT236,Data!BT207&lt;Data!AQ248),Data!BV207,0))</f>
        <v>0</v>
      </c>
      <c r="D45" s="322">
        <v>0</v>
      </c>
      <c r="E45" s="330">
        <f>IF(AND(Data!BT206&gt;Data!AT236,Data!BT206&lt;Data!AQ248),ROUND(C45*Data!BW206%,0.1),IF(AND(Data!BT207&gt;Data!AT236,Data!BT207&lt;Data!AQ248),ROUND(C45*Data!BW207%,0.1),0))</f>
        <v>0</v>
      </c>
      <c r="F45" s="322">
        <v>0</v>
      </c>
      <c r="G45" s="321">
        <v>0</v>
      </c>
      <c r="H45" s="321">
        <v>0</v>
      </c>
      <c r="I45" s="321">
        <v>0</v>
      </c>
      <c r="J45" s="321">
        <f>IF(AND(Data!BT206&gt;Data!AT236,Data!BT206&lt;Data!AQ248),ROUND(C45*Data!BX206%,0.1),IF(AND(Data!BT207&gt;Data!AT236,Data!BT207&lt;Data!AQ248),ROUND(C45*Data!BX207%,0.1),0))</f>
        <v>0</v>
      </c>
      <c r="K45" s="321">
        <v>0</v>
      </c>
      <c r="L45" s="321">
        <v>0</v>
      </c>
      <c r="M45" s="322">
        <v>0</v>
      </c>
      <c r="N45" s="321">
        <f t="shared" si="28"/>
        <v>0</v>
      </c>
      <c r="O45" s="321">
        <v>0</v>
      </c>
      <c r="P45" s="321">
        <f>IF(AND(Data!BT206&gt;Data!AT236,Data!BT206&lt;Data!AQ248),Data!CA206,IF(AND(Data!BT207&gt;Data!AT236,Data!BT207&lt;Data!AQ248),Data!CA207,0))</f>
        <v>0</v>
      </c>
      <c r="Q45" s="321">
        <f>IF(AND(Data!BT206&gt;Data!AT236,Data!BT206&lt;Data!AQ248),ROUND(P45*Data!CB206%,0.1),IF(AND(Data!BT207&gt;Data!AT236,Data!BT207&lt;Data!AQ248),ROUND(P45*Data!CB207%,0.1),0))</f>
        <v>0</v>
      </c>
      <c r="R45" s="321">
        <f t="shared" si="30"/>
        <v>0</v>
      </c>
      <c r="S45" s="324">
        <v>0</v>
      </c>
      <c r="T45" s="331">
        <v>0</v>
      </c>
      <c r="U45" s="321">
        <v>0</v>
      </c>
      <c r="V45" s="321">
        <v>0</v>
      </c>
      <c r="W45" s="321">
        <v>0</v>
      </c>
      <c r="X45" s="321">
        <f>IF(AND(Data!BT206&gt;Data!AT236,Data!BT206&lt;Data!AQ248),ROUND(P45*Data!CC206%,0.1),IF(AND(Data!BT207&gt;Data!AT236,Data!BT207&lt;Data!AQ248),ROUND(P45*Data!CC207%,0.1),0))</f>
        <v>0</v>
      </c>
      <c r="Y45" s="321">
        <v>0</v>
      </c>
      <c r="Z45" s="321">
        <v>0</v>
      </c>
      <c r="AA45" s="324">
        <v>0</v>
      </c>
      <c r="AB45" s="321">
        <f t="shared" si="32"/>
        <v>0</v>
      </c>
      <c r="AC45" s="326">
        <v>0</v>
      </c>
      <c r="AD45" s="327">
        <f t="shared" si="33"/>
        <v>0</v>
      </c>
      <c r="AE45" s="321">
        <f t="shared" si="34"/>
        <v>0</v>
      </c>
      <c r="AF45" s="321">
        <f t="shared" si="35"/>
        <v>0</v>
      </c>
      <c r="AG45" s="321">
        <f t="shared" si="36"/>
        <v>0</v>
      </c>
      <c r="AH45" s="321">
        <f t="shared" si="37"/>
        <v>0</v>
      </c>
      <c r="AI45" s="321">
        <f t="shared" si="38"/>
        <v>0</v>
      </c>
      <c r="AJ45" s="321">
        <f t="shared" si="39"/>
        <v>0</v>
      </c>
      <c r="AK45" s="321">
        <f t="shared" si="40"/>
        <v>0</v>
      </c>
      <c r="AL45" s="321">
        <v>0</v>
      </c>
      <c r="AM45" s="321">
        <f t="shared" si="42"/>
        <v>0</v>
      </c>
      <c r="AN45" s="321">
        <f t="shared" si="43"/>
        <v>0</v>
      </c>
      <c r="AO45" s="321">
        <f>IF(Data!O$11="CPS",(ROUND(C45*10%,0.1)+ROUND(E45*10%,0.1))-(ROUND(P45*10%,0.1)+ROUND(Q45*10%,0.1)),0)</f>
        <v>0</v>
      </c>
      <c r="AP45" s="259">
        <f>AM45-AN45-AO45</f>
        <v>0</v>
      </c>
    </row>
    <row r="46" spans="1:42" s="255" customFormat="1" ht="28.5" customHeight="1" thickBot="1">
      <c r="A46" s="754" t="str">
        <f>IF(AND(Data!AK293&lt;Data!AT248,Data!AK293&gt;Data!AT236),Data!AK296,IF(AND(Data!AK294&lt;Data!AT248,Data!AK294&gt;Data!AT236),Data!AK297,"No SL"))</f>
        <v>No SL</v>
      </c>
      <c r="B46" s="755"/>
      <c r="C46" s="332">
        <f>IF(AND(Data!AK293&lt;Data!AT248,Data!AK293&gt;Data!AT236),Data!AO293,IF(AND(Data!AK294&lt;Data!AT248,Data!AK294&gt;Data!AT236),Data!AO294,0))</f>
        <v>0</v>
      </c>
      <c r="D46" s="333">
        <f>IF(AND(Data!AK293&lt;Data!AT248,Data!AK293&gt;Data!AT236),Data!AR293,IF(AND(Data!AK294&lt;Data!AT248,Data!AK294&gt;Data!AT236),Data!AR294,0))</f>
        <v>0</v>
      </c>
      <c r="E46" s="334">
        <f>IF(AND(Data!AK293&lt;Data!AT248,Data!AK293&gt;Data!AT236),Data!AP293,IF(AND(Data!AK294&lt;Data!AT248,Data!AK294&gt;Data!AT236),Data!AP294,0))</f>
        <v>0</v>
      </c>
      <c r="F46" s="333">
        <v>0</v>
      </c>
      <c r="G46" s="332">
        <v>0</v>
      </c>
      <c r="H46" s="332">
        <v>0</v>
      </c>
      <c r="I46" s="332">
        <v>0</v>
      </c>
      <c r="J46" s="332">
        <f>IF(AND(Data!AK293&lt;Data!AT248,Data!AK293&gt;Data!AT236),Data!AQ293,IF(AND(Data!AK294&lt;Data!AT248,Data!AK294&gt;Data!AT236),Data!AQ294,0))</f>
        <v>0</v>
      </c>
      <c r="K46" s="332">
        <v>0</v>
      </c>
      <c r="L46" s="332">
        <v>0</v>
      </c>
      <c r="M46" s="322">
        <v>0</v>
      </c>
      <c r="N46" s="321">
        <f t="shared" si="28"/>
        <v>0</v>
      </c>
      <c r="O46" s="332">
        <v>0</v>
      </c>
      <c r="P46" s="332">
        <f>IF(AND(Data!AK293&lt;Data!AT248,Data!AK293&gt;Data!AT236),Data!AV293,IF(AND(Data!AK294&lt;Data!AT248,Data!AK294&gt;Data!AT236),Data!AV294,0))</f>
        <v>0</v>
      </c>
      <c r="Q46" s="332">
        <f>IF(AND(Data!AK293&lt;Data!AT248,Data!AK293&gt;Data!AT236),Data!AW293,IF(AND(Data!AK294&lt;Data!AT248,Data!AK294&gt;Data!AT236),Data!AW294,0))</f>
        <v>0</v>
      </c>
      <c r="R46" s="321">
        <f t="shared" si="30"/>
        <v>0</v>
      </c>
      <c r="S46" s="324">
        <f>D46</f>
        <v>0</v>
      </c>
      <c r="T46" s="335">
        <v>0</v>
      </c>
      <c r="U46" s="332">
        <v>0</v>
      </c>
      <c r="V46" s="332">
        <v>0</v>
      </c>
      <c r="W46" s="332">
        <v>0</v>
      </c>
      <c r="X46" s="332">
        <f>IF(AND(Data!AK293&lt;Data!AT248,Data!AK293&gt;Data!AT236),Data!AX293,IF(AND(Data!AK294&lt;Data!AT248,Data!AK294&gt;Data!AT236),Data!AX294,0))</f>
        <v>0</v>
      </c>
      <c r="Y46" s="332">
        <v>0</v>
      </c>
      <c r="Z46" s="332">
        <v>0</v>
      </c>
      <c r="AA46" s="336">
        <v>0</v>
      </c>
      <c r="AB46" s="321">
        <f t="shared" si="32"/>
        <v>0</v>
      </c>
      <c r="AC46" s="337">
        <v>0</v>
      </c>
      <c r="AD46" s="327">
        <f t="shared" si="33"/>
        <v>0</v>
      </c>
      <c r="AE46" s="321">
        <f t="shared" si="34"/>
        <v>0</v>
      </c>
      <c r="AF46" s="321">
        <f t="shared" si="35"/>
        <v>0</v>
      </c>
      <c r="AG46" s="321">
        <f t="shared" si="36"/>
        <v>0</v>
      </c>
      <c r="AH46" s="321">
        <f t="shared" si="37"/>
        <v>0</v>
      </c>
      <c r="AI46" s="321">
        <f t="shared" si="38"/>
        <v>0</v>
      </c>
      <c r="AJ46" s="321">
        <f t="shared" si="39"/>
        <v>0</v>
      </c>
      <c r="AK46" s="321">
        <f t="shared" si="40"/>
        <v>0</v>
      </c>
      <c r="AL46" s="321">
        <v>0</v>
      </c>
      <c r="AM46" s="321">
        <f t="shared" si="42"/>
        <v>0</v>
      </c>
      <c r="AN46" s="321">
        <v>0</v>
      </c>
      <c r="AO46" s="321">
        <v>0</v>
      </c>
      <c r="AP46" s="259">
        <f>AM46-AN46-AO46</f>
        <v>0</v>
      </c>
    </row>
    <row r="47" spans="1:42" s="264" customFormat="1" ht="20.25" customHeight="1" thickBot="1">
      <c r="A47" s="756" t="s">
        <v>411</v>
      </c>
      <c r="B47" s="757"/>
      <c r="C47" s="757"/>
      <c r="D47" s="757"/>
      <c r="E47" s="757"/>
      <c r="F47" s="757"/>
      <c r="G47" s="757"/>
      <c r="H47" s="757"/>
      <c r="I47" s="757"/>
      <c r="J47" s="757"/>
      <c r="K47" s="757"/>
      <c r="L47" s="757"/>
      <c r="M47" s="757"/>
      <c r="N47" s="757"/>
      <c r="O47" s="757"/>
      <c r="P47" s="757"/>
      <c r="Q47" s="757"/>
      <c r="R47" s="757"/>
      <c r="S47" s="757"/>
      <c r="T47" s="757"/>
      <c r="U47" s="757"/>
      <c r="V47" s="757"/>
      <c r="W47" s="757"/>
      <c r="X47" s="757"/>
      <c r="Y47" s="757"/>
      <c r="Z47" s="757"/>
      <c r="AA47" s="757"/>
      <c r="AB47" s="757"/>
      <c r="AC47" s="758"/>
      <c r="AD47" s="262">
        <f>SUM(AD32:AD46)</f>
        <v>107824</v>
      </c>
      <c r="AE47" s="262">
        <f t="shared" ref="AE47:AO47" si="50">SUM(AE32:AE46)</f>
        <v>52774</v>
      </c>
      <c r="AF47" s="262">
        <f t="shared" si="50"/>
        <v>10</v>
      </c>
      <c r="AG47" s="262">
        <f t="shared" si="50"/>
        <v>0</v>
      </c>
      <c r="AH47" s="262">
        <f t="shared" si="50"/>
        <v>0</v>
      </c>
      <c r="AI47" s="262">
        <f t="shared" si="50"/>
        <v>40578</v>
      </c>
      <c r="AJ47" s="262">
        <f>SUM(AJ32:AJ46)</f>
        <v>0</v>
      </c>
      <c r="AK47" s="262">
        <f t="shared" si="50"/>
        <v>4000</v>
      </c>
      <c r="AL47" s="262">
        <f t="shared" si="50"/>
        <v>0</v>
      </c>
      <c r="AM47" s="262">
        <f t="shared" si="50"/>
        <v>205186</v>
      </c>
      <c r="AN47" s="262">
        <f t="shared" si="50"/>
        <v>0</v>
      </c>
      <c r="AO47" s="262">
        <f t="shared" si="50"/>
        <v>0</v>
      </c>
      <c r="AP47" s="263">
        <f>SUM(AP32:AP46)</f>
        <v>205186</v>
      </c>
    </row>
    <row r="48" spans="1:42" ht="21" customHeight="1" thickBot="1">
      <c r="A48" s="749" t="s">
        <v>449</v>
      </c>
      <c r="B48" s="750"/>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0"/>
      <c r="AI48" s="750"/>
      <c r="AJ48" s="750"/>
      <c r="AK48" s="750"/>
      <c r="AL48" s="750"/>
      <c r="AM48" s="750"/>
      <c r="AN48" s="750"/>
      <c r="AO48" s="750"/>
      <c r="AP48" s="751"/>
    </row>
    <row r="49" spans="1:42" s="255" customFormat="1" ht="21.75" customHeight="1">
      <c r="A49" s="319">
        <v>34</v>
      </c>
      <c r="B49" s="320" t="str">
        <f>Data!AM248</f>
        <v>Apr, 2021</v>
      </c>
      <c r="C49" s="321">
        <f>IF(A49&gt;Data!AM303,0,Data!AV248)</f>
        <v>62110</v>
      </c>
      <c r="D49" s="322">
        <f>IF(C49&gt;0,Data!$L$23+Data!M$24,0)</f>
        <v>35</v>
      </c>
      <c r="E49" s="321">
        <f>ROUND(C49*7.28%,0.1)</f>
        <v>4522</v>
      </c>
      <c r="F49" s="321">
        <f>T49</f>
        <v>0</v>
      </c>
      <c r="G49" s="321">
        <f>U49</f>
        <v>2000</v>
      </c>
      <c r="H49" s="321">
        <f>V49</f>
        <v>0</v>
      </c>
      <c r="I49" s="321">
        <f>IF(C49&gt;0,Data!F$23,0)</f>
        <v>390</v>
      </c>
      <c r="J49" s="321">
        <f>IF(C49&gt;0,Data!BB248,0)</f>
        <v>14906</v>
      </c>
      <c r="K49" s="323">
        <f>Y49</f>
        <v>0</v>
      </c>
      <c r="L49" s="321">
        <f>IF(C49&gt;0,Data!BL248,0)</f>
        <v>1250</v>
      </c>
      <c r="M49" s="322">
        <v>0</v>
      </c>
      <c r="N49" s="321">
        <f t="shared" ref="N49:N55" si="51">SUM(C49:L49)</f>
        <v>85213</v>
      </c>
      <c r="O49" s="321">
        <f>IF(Data!P$23="Yes",0,IF(N49&gt;=20000,200,IF(N49&gt;=15000,150,IF(N49&gt;=10000,100,0))))</f>
        <v>0</v>
      </c>
      <c r="P49" s="321">
        <f>IF(C49&gt;0,Data!AU248,0)</f>
        <v>38130</v>
      </c>
      <c r="Q49" s="321">
        <f t="shared" si="29"/>
        <v>14785</v>
      </c>
      <c r="R49" s="321">
        <f t="shared" si="30"/>
        <v>52915</v>
      </c>
      <c r="S49" s="324">
        <f>IF(C49&gt;0,D49,0)</f>
        <v>35</v>
      </c>
      <c r="T49" s="331">
        <f>IF(C49&gt;0,T48,0)</f>
        <v>0</v>
      </c>
      <c r="U49" s="321">
        <f>IF(Data!P$23="Yes",MIN(ROUND(P49*10%,0.1),2000),0)</f>
        <v>2000</v>
      </c>
      <c r="V49" s="321">
        <f>IF(C49&gt;0,V48,0)</f>
        <v>0</v>
      </c>
      <c r="W49" s="321">
        <f>I49</f>
        <v>390</v>
      </c>
      <c r="X49" s="321">
        <f>IF(C49&gt;0,Data!AY248,0)</f>
        <v>11439</v>
      </c>
      <c r="Y49" s="325">
        <f>IF(P49&gt;0,IF(Data!J$27="Yes",MIN(ROUND(P49*8%,0.1),2000),0),0)</f>
        <v>0</v>
      </c>
      <c r="Z49" s="321">
        <f>IF(C49&gt;0,Data!BH248,0)</f>
        <v>1000</v>
      </c>
      <c r="AA49" s="324">
        <v>0</v>
      </c>
      <c r="AB49" s="321">
        <f t="shared" ref="AB49:AB55" si="52">SUM(R49:Z49)</f>
        <v>67779</v>
      </c>
      <c r="AC49" s="326">
        <f>IF(Data!P$23="Yes",0,IF(AB49&gt;=20000,200,IF(AB49&gt;=15000,150,IF(AB49&gt;=10000,100,IF(AB49&gt;=8000,80,0)))))</f>
        <v>0</v>
      </c>
      <c r="AD49" s="327">
        <f t="shared" ref="AD49:AD55" si="53">C49-R49</f>
        <v>9195</v>
      </c>
      <c r="AE49" s="321">
        <f t="shared" ref="AE49:AE55" si="54">E49</f>
        <v>4522</v>
      </c>
      <c r="AF49" s="321">
        <f t="shared" ref="AF49:AH55" si="55">F49-T49</f>
        <v>0</v>
      </c>
      <c r="AG49" s="321">
        <f t="shared" si="55"/>
        <v>0</v>
      </c>
      <c r="AH49" s="321">
        <f t="shared" si="55"/>
        <v>0</v>
      </c>
      <c r="AI49" s="321">
        <f t="shared" ref="AI49:AK55" si="56">J49-X49</f>
        <v>3467</v>
      </c>
      <c r="AJ49" s="321">
        <f t="shared" si="56"/>
        <v>0</v>
      </c>
      <c r="AK49" s="321">
        <f t="shared" si="56"/>
        <v>250</v>
      </c>
      <c r="AL49" s="321">
        <f t="shared" ref="AL49:AL55" si="57">M49-AA49</f>
        <v>0</v>
      </c>
      <c r="AM49" s="321">
        <f t="shared" ref="AM49:AM55" si="58">SUM(AD49:AK49)</f>
        <v>17434</v>
      </c>
      <c r="AN49" s="321">
        <f>O49-AC49</f>
        <v>0</v>
      </c>
      <c r="AO49" s="321">
        <f>IF(Data!O$11="CPS",(ROUND(C49*10%,0.1)+ROUND(E49*10%,0.1))-(ROUND(P49*10%,0.1)+ROUND(Q49*10%,0.1)),0)</f>
        <v>0</v>
      </c>
      <c r="AP49" s="259">
        <f t="shared" si="19"/>
        <v>17434</v>
      </c>
    </row>
    <row r="50" spans="1:42" s="255" customFormat="1" ht="21.75" customHeight="1">
      <c r="A50" s="329">
        <v>35</v>
      </c>
      <c r="B50" s="320" t="str">
        <f>Data!AM249</f>
        <v>May, 2021</v>
      </c>
      <c r="C50" s="321">
        <f>IF(A50&gt;Data!AM303,0,IF(Data!AT249&lt;=Data!AM$171,Data!AV249,0))</f>
        <v>62110</v>
      </c>
      <c r="D50" s="322">
        <f>IF(C50&gt;0,Data!$L$23+Data!M$24,0)</f>
        <v>35</v>
      </c>
      <c r="E50" s="330">
        <f>ROUND(C50*7.28%,0.1)</f>
        <v>4522</v>
      </c>
      <c r="F50" s="322">
        <f>IF(C50&gt;0,F49,0)</f>
        <v>0</v>
      </c>
      <c r="G50" s="321">
        <f>IF(Data!P$23="Yes",MIN(ROUND(C50*10%,0.1),3000),0)</f>
        <v>3000</v>
      </c>
      <c r="H50" s="321">
        <f>V50</f>
        <v>0</v>
      </c>
      <c r="I50" s="321">
        <f>IF(C50&gt;0,Data!F$23,0)</f>
        <v>390</v>
      </c>
      <c r="J50" s="321">
        <f>IF(C50&gt;0,Data!BB249,0)</f>
        <v>14906</v>
      </c>
      <c r="K50" s="323">
        <f>Y50</f>
        <v>0</v>
      </c>
      <c r="L50" s="321">
        <f>IF(C50&gt;0,Data!BN249,0)</f>
        <v>1250</v>
      </c>
      <c r="M50" s="322">
        <v>0</v>
      </c>
      <c r="N50" s="321">
        <f t="shared" si="51"/>
        <v>86213</v>
      </c>
      <c r="O50" s="321">
        <f>IF(Data!P$23="Yes",0,IF(N50&gt;=20000,200,IF(N50&gt;=15000,150,IF(N50&gt;=10000,100,0))))</f>
        <v>0</v>
      </c>
      <c r="P50" s="321">
        <f>IF(C50&gt;0,Data!AU249,0)</f>
        <v>38130</v>
      </c>
      <c r="Q50" s="321">
        <f t="shared" si="29"/>
        <v>14785</v>
      </c>
      <c r="R50" s="321">
        <f t="shared" si="30"/>
        <v>52915</v>
      </c>
      <c r="S50" s="324">
        <f>IF(C50&gt;0,D50,0)</f>
        <v>35</v>
      </c>
      <c r="T50" s="331">
        <f>IF(C50&gt;0,T49,0)</f>
        <v>0</v>
      </c>
      <c r="U50" s="321">
        <f>IF(Data!P$23="Yes",MIN(ROUND(P50*10%,0.1),2000),0)</f>
        <v>2000</v>
      </c>
      <c r="V50" s="321">
        <f>IF(C50&gt;0,V49,0)</f>
        <v>0</v>
      </c>
      <c r="W50" s="321">
        <f>I50</f>
        <v>390</v>
      </c>
      <c r="X50" s="321">
        <f>IF(C50&gt;0,Data!AY249,0)</f>
        <v>11439</v>
      </c>
      <c r="Y50" s="325">
        <f>IF(P50&gt;0,IF(Data!J$27="Yes",MIN(ROUND(P50*8%,0.1),2000),0),0)</f>
        <v>0</v>
      </c>
      <c r="Z50" s="321">
        <f>IF(C50&gt;0,Data!BH249,0)</f>
        <v>1000</v>
      </c>
      <c r="AA50" s="324">
        <v>0</v>
      </c>
      <c r="AB50" s="321">
        <f t="shared" si="52"/>
        <v>67779</v>
      </c>
      <c r="AC50" s="326">
        <f>IF(Data!P$23="Yes",0,IF(AB50&gt;=20000,200,IF(AB50&gt;=15000,150,IF(AB50&gt;=10000,100,IF(AB50&gt;=8000,80,0)))))</f>
        <v>0</v>
      </c>
      <c r="AD50" s="338">
        <f t="shared" si="53"/>
        <v>9195</v>
      </c>
      <c r="AE50" s="332">
        <f t="shared" si="54"/>
        <v>4522</v>
      </c>
      <c r="AF50" s="332">
        <f t="shared" si="55"/>
        <v>0</v>
      </c>
      <c r="AG50" s="332">
        <f t="shared" si="55"/>
        <v>1000</v>
      </c>
      <c r="AH50" s="332">
        <f t="shared" si="55"/>
        <v>0</v>
      </c>
      <c r="AI50" s="332">
        <f t="shared" si="56"/>
        <v>3467</v>
      </c>
      <c r="AJ50" s="332">
        <f t="shared" si="56"/>
        <v>0</v>
      </c>
      <c r="AK50" s="332">
        <f t="shared" si="56"/>
        <v>250</v>
      </c>
      <c r="AL50" s="332">
        <f t="shared" si="57"/>
        <v>0</v>
      </c>
      <c r="AM50" s="332">
        <f t="shared" si="58"/>
        <v>18434</v>
      </c>
      <c r="AN50" s="332">
        <f>O50-AC50</f>
        <v>0</v>
      </c>
      <c r="AO50" s="332">
        <f>IF(Data!O$11="CPS",(ROUND(C50*10%,0.1)+ROUND(E50*10%,0.1))-(ROUND(P50*10%,0.1)+ROUND(Q50*10%,0.1)),0)</f>
        <v>0</v>
      </c>
      <c r="AP50" s="302">
        <f t="shared" si="19"/>
        <v>18434</v>
      </c>
    </row>
    <row r="51" spans="1:42" s="255" customFormat="1" ht="23.25" customHeight="1">
      <c r="A51" s="752" t="str">
        <f>IF(AND(Data!BT212&gt;33,Data!BT212&lt;36),IF(Data!BT205=DATE(2100,1,1),"No AAS Arrears",IF(Data!BT205&gt;=Data!AT248,CONCATENATE("AAS Arrears    ",),"No AAS Arrears")),"No AAS Arrears")</f>
        <v>No AAS Arrears</v>
      </c>
      <c r="B51" s="753"/>
      <c r="C51" s="321">
        <f>IF(AND(Data!BT212&gt;33,Data!BT212&lt;36),IF(Data!BT205=DATE(2100,1,1),0,IF(Data!BT205&gt;=Data!AT248,Data!BV205,0)),0)</f>
        <v>0</v>
      </c>
      <c r="D51" s="322">
        <v>0</v>
      </c>
      <c r="E51" s="330">
        <f>IF(AND(Data!BT212&gt;33,Data!BT212&lt;36),IF(Data!BT205=DATE(2100,1,1),0,IF(Data!BT205&gt;=Data!AT248,ROUND(C51*Data!BW205%,0.1),0)),0)</f>
        <v>0</v>
      </c>
      <c r="F51" s="322">
        <v>0</v>
      </c>
      <c r="G51" s="321">
        <v>0</v>
      </c>
      <c r="H51" s="321">
        <v>0</v>
      </c>
      <c r="I51" s="321">
        <v>0</v>
      </c>
      <c r="J51" s="321">
        <f>IF(AND(Data!BT212&gt;33,Data!BT212&lt;36),IF(Data!BT205=DATE(2100,1,1),0,IF(Data!BT205&gt;=Data!AT248,ROUND(C51*Data!BX205%,0.1),0)),0)</f>
        <v>0</v>
      </c>
      <c r="K51" s="321">
        <v>0</v>
      </c>
      <c r="L51" s="321">
        <v>0</v>
      </c>
      <c r="M51" s="322">
        <v>0</v>
      </c>
      <c r="N51" s="321">
        <f>SUM(C51:L51)</f>
        <v>0</v>
      </c>
      <c r="O51" s="321">
        <v>0</v>
      </c>
      <c r="P51" s="321">
        <f>IF(AND(Data!BT212&gt;33,Data!BT212&lt;36),IF(Data!BT205=DATE(2100,1,1),0,IF(Data!BT205&gt;=Data!AT248,Data!CA205,0)),0)</f>
        <v>0</v>
      </c>
      <c r="Q51" s="321">
        <f>IF(AND(Data!BT212&gt;33,Data!BT212&lt;36),IF(Data!BT205=DATE(2100,1,1),0,IF(Data!BT205&gt;=Data!AT248,ROUND(P51*Data!CB205%,0.1),0)),0)</f>
        <v>0</v>
      </c>
      <c r="R51" s="321">
        <f>SUM(P51:Q51)</f>
        <v>0</v>
      </c>
      <c r="S51" s="324">
        <v>0</v>
      </c>
      <c r="T51" s="331">
        <v>0</v>
      </c>
      <c r="U51" s="321">
        <v>0</v>
      </c>
      <c r="V51" s="321">
        <v>0</v>
      </c>
      <c r="W51" s="321">
        <v>0</v>
      </c>
      <c r="X51" s="321">
        <f>IF(AND(Data!BT212&gt;33,Data!BT212&lt;36),IF(Data!BT205=DATE(2100,1,1),0,IF(Data!BT205&gt;=Data!AT248,ROUND(P51*Data!CC205%,0.1),0)),0)</f>
        <v>0</v>
      </c>
      <c r="Y51" s="321">
        <v>0</v>
      </c>
      <c r="Z51" s="321">
        <v>0</v>
      </c>
      <c r="AA51" s="324">
        <v>0</v>
      </c>
      <c r="AB51" s="321">
        <f>SUM(R51:Z51)</f>
        <v>0</v>
      </c>
      <c r="AC51" s="326">
        <v>0</v>
      </c>
      <c r="AD51" s="327">
        <f>C51-R51</f>
        <v>0</v>
      </c>
      <c r="AE51" s="321">
        <f>E51</f>
        <v>0</v>
      </c>
      <c r="AF51" s="321">
        <f t="shared" ref="AF51:AH53" si="59">F51-T51</f>
        <v>0</v>
      </c>
      <c r="AG51" s="321">
        <f t="shared" si="59"/>
        <v>0</v>
      </c>
      <c r="AH51" s="321">
        <f t="shared" si="59"/>
        <v>0</v>
      </c>
      <c r="AI51" s="321">
        <f t="shared" ref="AI51:AK53" si="60">J51-X51</f>
        <v>0</v>
      </c>
      <c r="AJ51" s="321">
        <f t="shared" si="60"/>
        <v>0</v>
      </c>
      <c r="AK51" s="321">
        <f t="shared" si="60"/>
        <v>0</v>
      </c>
      <c r="AL51" s="321">
        <v>0</v>
      </c>
      <c r="AM51" s="321">
        <f>SUM(AD51:AK51)</f>
        <v>0</v>
      </c>
      <c r="AN51" s="321">
        <f>O51-AC51</f>
        <v>0</v>
      </c>
      <c r="AO51" s="321">
        <f>IF(Data!O$11="CPS",(ROUND(C51*10%,0.1)+ROUND(E51*10%,0.1))-(ROUND(P51*10%,0.1)+ROUND(Q51*10%,0.1)),0)</f>
        <v>0</v>
      </c>
      <c r="AP51" s="259">
        <f>AM51-AN51-AO51</f>
        <v>0</v>
      </c>
    </row>
    <row r="52" spans="1:42" s="255" customFormat="1" ht="23.25" customHeight="1">
      <c r="A52" s="752" t="str">
        <f>IF(AND(Data!BT215&gt;33,Data!BT215&lt;36),IF(AND(Data!BT206&gt;=Data!AT248,Data!BT206&lt;DATE(2100,1,1)),"Promtion Arrears",IF(AND(Data!BT207&gt;=Data!AT248,Data!BT207&lt;DATE(2100,1,1)),"Promtion Arrears",IF(OR(Data!BT206=DATE(2100,1,1),Data!BT207=DATE(2100,1,1)),"No Promotion Arrears"))),"No Promotion Arrears")</f>
        <v>No Promotion Arrears</v>
      </c>
      <c r="B52" s="753"/>
      <c r="C52" s="321">
        <f>IF(AND(Data!BT215&gt;33,Data!BT215&lt;36),IF(AND(Data!BT206&gt;=Data!AT248,Data!BT206&lt;DATE(2100,1,1)),Data!BV206,IF(AND(Data!BT207&gt;=Data!AT248,Data!BT207&lt;DATE(2100,1,1)),Data!BV207,IF(OR(Data!BT206=DATE(2100,1,1),Data!BT207=DATE(2100,1,1)),0,0))),0)</f>
        <v>0</v>
      </c>
      <c r="D52" s="322">
        <v>0</v>
      </c>
      <c r="E52" s="330">
        <f>IF(AND(Data!BT215&gt;33,Data!BT215&lt;36),IF(AND(Data!BT206&gt;=Data!AT248,Data!BT206&lt;DATE(2100,1,1)),ROUND(C52*Data!BW206%,0.1),IF(AND(Data!BT207&gt;=Data!AT248,Data!BT207&lt;DATE(2100,1,1)),ROUND(C52*Data!BW207%,0.1),IF(OR(Data!BT206=DATE(2100,1,1),(Data!BT207=DATE(2100,1,1))),0))),0)</f>
        <v>0</v>
      </c>
      <c r="F52" s="322">
        <v>0</v>
      </c>
      <c r="G52" s="321">
        <v>0</v>
      </c>
      <c r="H52" s="321">
        <v>0</v>
      </c>
      <c r="I52" s="321">
        <v>0</v>
      </c>
      <c r="J52" s="321">
        <f>IF(AND(Data!BT215&gt;33,Data!BT215&lt;36),IF(AND(Data!BT206&gt;=Data!AT248,Data!BT206&lt;DATE(2100,1,1)),ROUND(C52*Data!BX206%,0.1),IF(AND(Data!BT207&gt;=Data!AT248,Data!BT207&lt;DATE(2100,1,1)),ROUND(C52*Data!BX207%,0.1),IF(OR(Data!BT206=DATE(2100,1,1),(Data!BT207=DATE(2100,1,1))),0))),0)</f>
        <v>0</v>
      </c>
      <c r="K52" s="321">
        <v>0</v>
      </c>
      <c r="L52" s="321">
        <v>0</v>
      </c>
      <c r="M52" s="322">
        <v>0</v>
      </c>
      <c r="N52" s="321">
        <f>SUM(C52:L52)</f>
        <v>0</v>
      </c>
      <c r="O52" s="321">
        <v>0</v>
      </c>
      <c r="P52" s="321">
        <f>IF(AND(Data!BT215&gt;33,Data!BT215&lt;36),IF(AND(Data!BT206&gt;=Data!AT248,Data!BT206&lt;DATE(2100,1,1)),Data!CA206,IF(AND(Data!BT207&gt;=Data!AT248,Data!BT207&lt;DATE(2100,1,1)),Data!CA207,IF(OR(Data!BT206=DATE(2100,1,1),Data!BT207=DATE(2100,1,1)),0,0))),0)</f>
        <v>0</v>
      </c>
      <c r="Q52" s="321">
        <f>IF(AND(Data!BT215&gt;33,Data!BT215&lt;36),IF(AND(Data!BT206&gt;=Data!AT248,Data!BT206&lt;DATE(2100,1,1)),ROUND(P52*Data!CB206%,0.1),IF(AND(Data!BT207&gt;=Data!AT248,Data!BT207&lt;DATE(2100,1,1)),ROUND(P52*Data!CB207%,0.1),IF(OR(Data!BT206=DATE(2100,1,1),(Data!BT207=DATE(2100,1,1))),0))),0)</f>
        <v>0</v>
      </c>
      <c r="R52" s="321">
        <f>SUM(P52:Q52)</f>
        <v>0</v>
      </c>
      <c r="S52" s="324">
        <v>0</v>
      </c>
      <c r="T52" s="331">
        <v>0</v>
      </c>
      <c r="U52" s="321">
        <v>0</v>
      </c>
      <c r="V52" s="321">
        <v>0</v>
      </c>
      <c r="W52" s="321">
        <v>0</v>
      </c>
      <c r="X52" s="321">
        <f>IF(AND(Data!BT215&gt;33,Data!BT215&lt;36),IF(AND(Data!BT206&gt;=Data!AT248,Data!BT206&lt;DATE(2100,1,1)),ROUND(P52*Data!CC206%,0.1),IF(AND(Data!BT207&gt;=Data!AT248,Data!BT207&lt;DATE(2100,1,1)),ROUND(P52*Data!CC207%,0.1),IF(OR(Data!BT206=DATE(2100,1,1),(Data!BT207=DATE(2100,1,1))),0))),0)</f>
        <v>0</v>
      </c>
      <c r="Y52" s="321">
        <v>0</v>
      </c>
      <c r="Z52" s="321">
        <v>0</v>
      </c>
      <c r="AA52" s="324">
        <v>0</v>
      </c>
      <c r="AB52" s="321">
        <f>SUM(R52:Z52)</f>
        <v>0</v>
      </c>
      <c r="AC52" s="326">
        <v>0</v>
      </c>
      <c r="AD52" s="327">
        <f>C52-R52</f>
        <v>0</v>
      </c>
      <c r="AE52" s="321">
        <f>E52</f>
        <v>0</v>
      </c>
      <c r="AF52" s="321">
        <f t="shared" si="59"/>
        <v>0</v>
      </c>
      <c r="AG52" s="321">
        <f t="shared" si="59"/>
        <v>0</v>
      </c>
      <c r="AH52" s="321">
        <f t="shared" si="59"/>
        <v>0</v>
      </c>
      <c r="AI52" s="321">
        <f t="shared" si="60"/>
        <v>0</v>
      </c>
      <c r="AJ52" s="321">
        <f t="shared" si="60"/>
        <v>0</v>
      </c>
      <c r="AK52" s="321">
        <f t="shared" si="60"/>
        <v>0</v>
      </c>
      <c r="AL52" s="321">
        <v>0</v>
      </c>
      <c r="AM52" s="321">
        <f>SUM(AD52:AK52)</f>
        <v>0</v>
      </c>
      <c r="AN52" s="321">
        <f>O52-AC52</f>
        <v>0</v>
      </c>
      <c r="AO52" s="321">
        <f>IF(Data!O$11="CPS",(ROUND(C52*10%,0.1)+ROUND(E52*10%,0.1))-(ROUND(P52*10%,0.1)+ROUND(Q52*10%,0.1)),0)</f>
        <v>0</v>
      </c>
      <c r="AP52" s="259">
        <f>AM52-AN52-AO52</f>
        <v>0</v>
      </c>
    </row>
    <row r="53" spans="1:42" s="255" customFormat="1" ht="25.5" customHeight="1" thickBot="1">
      <c r="A53" s="759" t="str">
        <f>IF(AND(Data!AL296&gt;33,Data!AL296&lt;36),IF(Data!AK293&gt;=Data!AT248,Data!AK296,IF(Data!AK294&gt;=Data!AT248,Data!AK297,"No SL")),IF(AND(Data!AL297&gt;33,Data!AL297&lt;36),IF(Data!AK293&gt;=Data!AT248,Data!AK296,IF(Data!AK294&gt;=Data!AT248,Data!AK297,"No SL")),"No SL"))</f>
        <v>SL-5/2021   15Days</v>
      </c>
      <c r="B53" s="760"/>
      <c r="C53" s="339">
        <f>IF(AND(Data!AL296&gt;33,Data!AL296&lt;36),IF(Data!AK293&gt;=Data!AT248,Data!AO293,IF(Data!AK294&gt;=Data!AT248,Data!AO294,"0")),IF(AND(Data!AL297&gt;33,Data!AL297&lt;36),IF(Data!AK293&gt;=Data!AT248,Data!AO293,IF(Data!AK294&gt;=Data!AT248,Data!AO294,"0")),0))</f>
        <v>31055</v>
      </c>
      <c r="D53" s="333">
        <f>IF(Data!AK293&gt;Data!AT248,Data!AR293,IF(Data!AK294&gt;Data!AT248,Data!AR294,"0"))</f>
        <v>8</v>
      </c>
      <c r="E53" s="340">
        <f>IF(AND(Data!AL296&gt;33,Data!AL296&lt;36),IF(Data!AK293&gt;=Data!AT248,Data!AP293,IF(Data!AK294&gt;=Data!AT248,Data!AP294,"0")),IF(AND(Data!AL297&gt;33,Data!AL297&lt;36),IF(Data!AK293&gt;=Data!AT248,Data!AP293,IF(Data!AK294&gt;=Data!AT248,Data!AP294,"0")),0))</f>
        <v>2261</v>
      </c>
      <c r="F53" s="333">
        <v>0</v>
      </c>
      <c r="G53" s="332">
        <v>0</v>
      </c>
      <c r="H53" s="332">
        <v>0</v>
      </c>
      <c r="I53" s="332">
        <v>0</v>
      </c>
      <c r="J53" s="339">
        <f>IF(AND(Data!AL296&gt;33,Data!AL296&lt;36),IF(Data!AK293&gt;=Data!AT248,Data!AQ293,IF(Data!AK294&gt;=Data!AT248,Data!AQ294,"0")),IF(AND(Data!AL297&gt;33,Data!AL297&lt;36),IF(Data!AK293&gt;=Data!AT248,Data!AQ293,IF(Data!AK294&gt;=Data!AT248,Data!AQ294,"0")),0))</f>
        <v>7453</v>
      </c>
      <c r="K53" s="332">
        <v>0</v>
      </c>
      <c r="L53" s="332">
        <v>0</v>
      </c>
      <c r="M53" s="333">
        <v>0</v>
      </c>
      <c r="N53" s="321">
        <f>SUM(C53:L53)</f>
        <v>40777</v>
      </c>
      <c r="O53" s="332">
        <v>0</v>
      </c>
      <c r="P53" s="339">
        <f>IF(AND(Data!AL296&gt;33,Data!AL296&lt;36),IF(Data!AK293&gt;=Data!AT248,Data!AV293,IF(Data!AK294&gt;=Data!AT248,Data!AV294,"0")),IF(AND(Data!AL297&gt;33,Data!AL297&lt;36),IF(Data!AK293&gt;=Data!AT248,Data!AV293,IF(Data!AK294&gt;=Data!AT248,Data!AV294,"0")),0))</f>
        <v>19065</v>
      </c>
      <c r="Q53" s="339">
        <f>IF(AND(Data!AL296&gt;33,Data!AL296&lt;36),IF(Data!AK293&gt;=Data!AT248,Data!AW293,IF(Data!AK294&gt;=Data!AT248,Data!AW294,"0")),IF(AND(Data!AL297&gt;33,Data!AL297&lt;36),IF(Data!AK293&gt;=Data!AT248,Data!AW293,IF(Data!AK294&gt;=Data!AT248,Data!AW294,"0")),0))</f>
        <v>7393</v>
      </c>
      <c r="R53" s="321">
        <f>SUM(P53:Q53)</f>
        <v>26458</v>
      </c>
      <c r="S53" s="336">
        <f>D53</f>
        <v>8</v>
      </c>
      <c r="T53" s="335">
        <v>0</v>
      </c>
      <c r="U53" s="332">
        <v>0</v>
      </c>
      <c r="V53" s="332">
        <v>0</v>
      </c>
      <c r="W53" s="332">
        <v>0</v>
      </c>
      <c r="X53" s="339">
        <f>IF(AND(Data!AL296&gt;33,Data!AL296&lt;36),IF(Data!AK293&gt;=Data!AT248,Data!AX293,IF(Data!AK294&gt;=Data!AT248,Data!AX294,"0")),IF(AND(Data!AL297&gt;33,Data!AL297&lt;36),IF(Data!AK293&gt;=Data!AT248,Data!AX293,IF(Data!AK294&gt;=Data!AT248,Data!AX294,"0")),0))</f>
        <v>5720</v>
      </c>
      <c r="Y53" s="332">
        <v>0</v>
      </c>
      <c r="Z53" s="332">
        <v>0</v>
      </c>
      <c r="AA53" s="336">
        <v>0</v>
      </c>
      <c r="AB53" s="321">
        <f>SUM(R53:Z53)</f>
        <v>32186</v>
      </c>
      <c r="AC53" s="337">
        <v>0</v>
      </c>
      <c r="AD53" s="327">
        <f>C53-R53</f>
        <v>4597</v>
      </c>
      <c r="AE53" s="341">
        <f>E53</f>
        <v>2261</v>
      </c>
      <c r="AF53" s="321">
        <f t="shared" si="59"/>
        <v>0</v>
      </c>
      <c r="AG53" s="321">
        <f t="shared" si="59"/>
        <v>0</v>
      </c>
      <c r="AH53" s="321">
        <f t="shared" si="59"/>
        <v>0</v>
      </c>
      <c r="AI53" s="321">
        <f t="shared" si="60"/>
        <v>1733</v>
      </c>
      <c r="AJ53" s="321">
        <f t="shared" si="60"/>
        <v>0</v>
      </c>
      <c r="AK53" s="321">
        <f t="shared" si="60"/>
        <v>0</v>
      </c>
      <c r="AL53" s="321">
        <v>0</v>
      </c>
      <c r="AM53" s="321">
        <f>SUM(AD53:AK53)</f>
        <v>8591</v>
      </c>
      <c r="AN53" s="321">
        <v>0</v>
      </c>
      <c r="AO53" s="321">
        <v>0</v>
      </c>
      <c r="AP53" s="259">
        <f>AM53-AN53-AO53</f>
        <v>8591</v>
      </c>
    </row>
    <row r="54" spans="1:42" s="255" customFormat="1" ht="21.75" customHeight="1" thickBot="1">
      <c r="A54" s="756" t="s">
        <v>461</v>
      </c>
      <c r="B54" s="757"/>
      <c r="C54" s="757"/>
      <c r="D54" s="757"/>
      <c r="E54" s="757"/>
      <c r="F54" s="757"/>
      <c r="G54" s="757"/>
      <c r="H54" s="757"/>
      <c r="I54" s="757"/>
      <c r="J54" s="757"/>
      <c r="K54" s="757"/>
      <c r="L54" s="757"/>
      <c r="M54" s="757"/>
      <c r="N54" s="757"/>
      <c r="O54" s="757"/>
      <c r="P54" s="757"/>
      <c r="Q54" s="757"/>
      <c r="R54" s="757"/>
      <c r="S54" s="757"/>
      <c r="T54" s="757"/>
      <c r="U54" s="757"/>
      <c r="V54" s="757"/>
      <c r="W54" s="757"/>
      <c r="X54" s="757"/>
      <c r="Y54" s="757"/>
      <c r="Z54" s="757"/>
      <c r="AA54" s="757"/>
      <c r="AB54" s="757"/>
      <c r="AC54" s="758"/>
      <c r="AD54" s="303">
        <f t="shared" ref="AD54:AP54" si="61">SUM(AD49:AD53)</f>
        <v>22987</v>
      </c>
      <c r="AE54" s="304">
        <f t="shared" si="61"/>
        <v>11305</v>
      </c>
      <c r="AF54" s="304">
        <f t="shared" si="61"/>
        <v>0</v>
      </c>
      <c r="AG54" s="304">
        <f t="shared" si="61"/>
        <v>1000</v>
      </c>
      <c r="AH54" s="304">
        <f t="shared" si="61"/>
        <v>0</v>
      </c>
      <c r="AI54" s="304">
        <f t="shared" si="61"/>
        <v>8667</v>
      </c>
      <c r="AJ54" s="304">
        <f t="shared" si="61"/>
        <v>0</v>
      </c>
      <c r="AK54" s="304">
        <f t="shared" si="61"/>
        <v>500</v>
      </c>
      <c r="AL54" s="304">
        <f t="shared" si="61"/>
        <v>0</v>
      </c>
      <c r="AM54" s="304">
        <f t="shared" si="61"/>
        <v>44459</v>
      </c>
      <c r="AN54" s="304">
        <f t="shared" si="61"/>
        <v>0</v>
      </c>
      <c r="AO54" s="304">
        <f t="shared" si="61"/>
        <v>0</v>
      </c>
      <c r="AP54" s="308">
        <f t="shared" si="61"/>
        <v>44459</v>
      </c>
    </row>
    <row r="55" spans="1:42" s="255" customFormat="1" ht="20.25" customHeight="1">
      <c r="A55" s="342">
        <v>36</v>
      </c>
      <c r="B55" s="343" t="str">
        <f>Data!AM250</f>
        <v>Jun, 2021</v>
      </c>
      <c r="C55" s="344">
        <f>IF(Data!AT250&lt;=Data!AM$171,Data!AV250,0)</f>
        <v>0</v>
      </c>
      <c r="D55" s="345">
        <f>IF(C55&gt;0,Data!$L$23+Data!M$24,0)</f>
        <v>0</v>
      </c>
      <c r="E55" s="344">
        <f>ROUND(C55*7.28%,0.1)</f>
        <v>0</v>
      </c>
      <c r="F55" s="345">
        <f>IF(C55&gt;0,F50,0)</f>
        <v>0</v>
      </c>
      <c r="G55" s="344">
        <f>IF(Data!P$23="Yes",MIN(ROUND(C55*10%,0.1),3000),0)</f>
        <v>0</v>
      </c>
      <c r="H55" s="344">
        <f>IF(C55&gt;0,Data!G$28,0)</f>
        <v>0</v>
      </c>
      <c r="I55" s="344">
        <f>IF(C55&gt;0,Data!F$23,0)</f>
        <v>0</v>
      </c>
      <c r="J55" s="344">
        <f>IF(C55&gt;0,Data!BB250,0)</f>
        <v>0</v>
      </c>
      <c r="K55" s="344">
        <f>IF(C55&gt;0,IF(Data!J$27="Yes",MIN(ROUND(C55*8%,0.1),2500),0),0)</f>
        <v>0</v>
      </c>
      <c r="L55" s="344">
        <f>IF(C55&gt;0,Data!BL250,0)</f>
        <v>0</v>
      </c>
      <c r="M55" s="345">
        <v>0</v>
      </c>
      <c r="N55" s="344">
        <f t="shared" si="51"/>
        <v>0</v>
      </c>
      <c r="O55" s="344">
        <f>IF(Data!P$23="Yes",0,IF(N55&gt;=20000,200,IF(N55&gt;=15000,150,IF(N55&gt;=10000,100,0))))</f>
        <v>0</v>
      </c>
      <c r="P55" s="344">
        <f>IF(C55&gt;0,Data!AU250,0)</f>
        <v>0</v>
      </c>
      <c r="Q55" s="344">
        <f>ROUND(P55*38.776%,0.1)</f>
        <v>0</v>
      </c>
      <c r="R55" s="344">
        <f>SUM(P55:Q55)</f>
        <v>0</v>
      </c>
      <c r="S55" s="346">
        <f>IF(C55&gt;0,D55,0)</f>
        <v>0</v>
      </c>
      <c r="T55" s="346">
        <f>IF(C55&gt;0,T50,0)</f>
        <v>0</v>
      </c>
      <c r="U55" s="344">
        <f>IF(Data!P$23="Yes",MIN(ROUND(P55*10%,0.1),2000),0)</f>
        <v>0</v>
      </c>
      <c r="V55" s="344">
        <f>IF(C55&gt;0,V50,0)</f>
        <v>0</v>
      </c>
      <c r="W55" s="344">
        <f>IF(C55&gt;0,W50,0)</f>
        <v>0</v>
      </c>
      <c r="X55" s="344">
        <f>IF(C55&gt;0,Data!AY250,0)</f>
        <v>0</v>
      </c>
      <c r="Y55" s="347">
        <f>IF(P55&gt;0,IF(Data!J$27="Yes",MIN(ROUND(P55*8%,0.1),2000),0),0)</f>
        <v>0</v>
      </c>
      <c r="Z55" s="344">
        <f>IF(C55&gt;0,Data!BH250,0)</f>
        <v>0</v>
      </c>
      <c r="AA55" s="346">
        <v>0</v>
      </c>
      <c r="AB55" s="344">
        <f t="shared" si="52"/>
        <v>0</v>
      </c>
      <c r="AC55" s="348">
        <f>IF(Data!P$23="Yes",0,IF(AB55&gt;=20000,200,IF(AB55&gt;=15000,150,IF(AB55&gt;=10000,100,IF(AB55&gt;=8000,80,0)))))</f>
        <v>0</v>
      </c>
      <c r="AD55" s="349">
        <f t="shared" si="53"/>
        <v>0</v>
      </c>
      <c r="AE55" s="321">
        <f t="shared" si="54"/>
        <v>0</v>
      </c>
      <c r="AF55" s="321">
        <f t="shared" si="55"/>
        <v>0</v>
      </c>
      <c r="AG55" s="321">
        <f t="shared" si="55"/>
        <v>0</v>
      </c>
      <c r="AH55" s="321">
        <f t="shared" si="55"/>
        <v>0</v>
      </c>
      <c r="AI55" s="321">
        <f t="shared" si="56"/>
        <v>0</v>
      </c>
      <c r="AJ55" s="321">
        <f t="shared" si="56"/>
        <v>0</v>
      </c>
      <c r="AK55" s="321">
        <f t="shared" si="56"/>
        <v>0</v>
      </c>
      <c r="AL55" s="321">
        <f t="shared" si="57"/>
        <v>0</v>
      </c>
      <c r="AM55" s="321">
        <f t="shared" si="58"/>
        <v>0</v>
      </c>
      <c r="AN55" s="321">
        <f>O55-AC55</f>
        <v>0</v>
      </c>
      <c r="AO55" s="321">
        <f>IF(Data!O$11="CPS",(ROUND(C55*10%,0.1)+ROUND(E55*10%,0.1))-(ROUND(P55*10%,0.1)+ROUND(Q55*10%,0.1)),0)</f>
        <v>0</v>
      </c>
      <c r="AP55" s="259">
        <f t="shared" si="19"/>
        <v>0</v>
      </c>
    </row>
    <row r="56" spans="1:42" s="255" customFormat="1" ht="20.25" customHeight="1">
      <c r="A56" s="329">
        <v>37</v>
      </c>
      <c r="B56" s="320" t="str">
        <f>Data!AM251</f>
        <v>Jul, 2021</v>
      </c>
      <c r="C56" s="321">
        <f>IF(Data!AT251&lt;=Data!AM$171,Data!AV251,0)</f>
        <v>0</v>
      </c>
      <c r="D56" s="322">
        <f>IF(C56&gt;0,Data!$L$23+Data!M$24,0)</f>
        <v>0</v>
      </c>
      <c r="E56" s="330">
        <f>ROUND(C56*7.28%,0.1)</f>
        <v>0</v>
      </c>
      <c r="F56" s="322">
        <f>IF(C56&gt;0,F55,0)</f>
        <v>0</v>
      </c>
      <c r="G56" s="321">
        <f>IF(Data!P$23="Yes",MIN(ROUND(C56*10%,0.1),3000),0)</f>
        <v>0</v>
      </c>
      <c r="H56" s="321">
        <f>IF(C56&gt;0,Data!G$28,0)</f>
        <v>0</v>
      </c>
      <c r="I56" s="321">
        <f>IF(C56&gt;0,Data!F$23,0)</f>
        <v>0</v>
      </c>
      <c r="J56" s="321">
        <f>IF(C56&gt;0,Data!BB251,0)</f>
        <v>0</v>
      </c>
      <c r="K56" s="321">
        <f>IF(C56&gt;0,IF(Data!J$27="Yes",MIN(ROUND(C56*8%,0.1),2500),0),0)</f>
        <v>0</v>
      </c>
      <c r="L56" s="321">
        <f>IF(C56&gt;0,Data!BL251,0)</f>
        <v>0</v>
      </c>
      <c r="M56" s="322">
        <v>0</v>
      </c>
      <c r="N56" s="321">
        <f t="shared" ref="N56:N59" si="62">SUM(C56:L56)</f>
        <v>0</v>
      </c>
      <c r="O56" s="321">
        <f>IF(Data!P$23="Yes",0,IF(N56&gt;=20000,200,IF(N56&gt;=15000,150,IF(N56&gt;=10000,100,0))))</f>
        <v>0</v>
      </c>
      <c r="P56" s="321">
        <f>IF(C56&gt;0,Data!AU251,0)</f>
        <v>0</v>
      </c>
      <c r="Q56" s="321">
        <f>ROUND(P56*38.776%,0.1)</f>
        <v>0</v>
      </c>
      <c r="R56" s="321">
        <f>SUM(P56:Q56)</f>
        <v>0</v>
      </c>
      <c r="S56" s="324">
        <f>IF(C56&gt;0,D56,0)</f>
        <v>0</v>
      </c>
      <c r="T56" s="331">
        <f>IF(C56&gt;0,T55,0)</f>
        <v>0</v>
      </c>
      <c r="U56" s="321">
        <f>IF(Data!P$23="Yes",MIN(ROUND(P56*10%,0.1),2000),0)</f>
        <v>0</v>
      </c>
      <c r="V56" s="321">
        <f>IF(C56&gt;0,V55,0)</f>
        <v>0</v>
      </c>
      <c r="W56" s="321">
        <f>I56</f>
        <v>0</v>
      </c>
      <c r="X56" s="321">
        <f>IF(C56&gt;0,Data!AY251,0)</f>
        <v>0</v>
      </c>
      <c r="Y56" s="325">
        <f>IF(P56&gt;0,IF(Data!J$27="Yes",MIN(ROUND(P56*8%,0.1),2000),0),0)</f>
        <v>0</v>
      </c>
      <c r="Z56" s="321">
        <f>IF(C56&gt;0,Data!BM251,0)</f>
        <v>0</v>
      </c>
      <c r="AA56" s="324">
        <v>0</v>
      </c>
      <c r="AB56" s="321">
        <f t="shared" ref="AB56:AB58" si="63">SUM(R56:Z56)</f>
        <v>0</v>
      </c>
      <c r="AC56" s="328">
        <f>IF(Data!P$23="Yes",0,IF(AB56&gt;=20000,200,IF(AB56&gt;=15000,150,IF(AB56&gt;=10000,100,IF(AB56&gt;=8000,80,0)))))</f>
        <v>0</v>
      </c>
      <c r="AD56" s="349">
        <f t="shared" ref="AD56" si="64">C56-R56</f>
        <v>0</v>
      </c>
      <c r="AE56" s="321">
        <f t="shared" ref="AE56" si="65">E56</f>
        <v>0</v>
      </c>
      <c r="AF56" s="321">
        <f t="shared" ref="AF56" si="66">F56-T56</f>
        <v>0</v>
      </c>
      <c r="AG56" s="321">
        <f t="shared" ref="AG56" si="67">G56-U56</f>
        <v>0</v>
      </c>
      <c r="AH56" s="321">
        <f t="shared" ref="AH56" si="68">H56-V56</f>
        <v>0</v>
      </c>
      <c r="AI56" s="321">
        <f t="shared" ref="AI56" si="69">J56-X56</f>
        <v>0</v>
      </c>
      <c r="AJ56" s="321">
        <f t="shared" ref="AJ56" si="70">K56-Y56</f>
        <v>0</v>
      </c>
      <c r="AK56" s="321">
        <f t="shared" ref="AK56" si="71">L56-Z56</f>
        <v>0</v>
      </c>
      <c r="AL56" s="321">
        <f t="shared" ref="AL56" si="72">M56-AA56</f>
        <v>0</v>
      </c>
      <c r="AM56" s="321">
        <f t="shared" ref="AM56" si="73">SUM(AD56:AK56)</f>
        <v>0</v>
      </c>
      <c r="AN56" s="321">
        <f>O56-AC56</f>
        <v>0</v>
      </c>
      <c r="AO56" s="321">
        <f>IF(Data!O$11="CPS",(ROUND(C56*10%,0.1)+ROUND(E56*10%,0.1))-(ROUND(P56*10%,0.1)+ROUND(Q56*10%,0.1)),0)</f>
        <v>0</v>
      </c>
      <c r="AP56" s="259">
        <f t="shared" ref="AP56" si="74">AM56-AN56-AO56</f>
        <v>0</v>
      </c>
    </row>
    <row r="57" spans="1:42" s="255" customFormat="1" ht="20.25" customHeight="1">
      <c r="A57" s="752" t="str">
        <f>IF(Data!BT212&gt;35,IF(Data!BT211=DATE(2100,1,1),"No AAS Arrears",IF(Data!BT211&gt;=Data!AT254,CONCATENATE("AAS Arrears    ",),"No AAS Arrears")),"No AAS Arrears")</f>
        <v>No AAS Arrears</v>
      </c>
      <c r="B57" s="753"/>
      <c r="C57" s="330">
        <f>IF(Data!BT212&gt;35,IF(Data!BT205=DATE(2100,1,1),0,IF(Data!BT205&gt;=Data!AT248,Data!BV205,0)),0)</f>
        <v>0</v>
      </c>
      <c r="D57" s="350">
        <v>0</v>
      </c>
      <c r="E57" s="330">
        <f>IF(Data!BT212&gt;35,IF(Data!BT205=DATE(2100,1,1),0,IF(Data!BT205&gt;=Data!AT248,ROUND(C51*Data!BW205%,0.1),0)),0)</f>
        <v>0</v>
      </c>
      <c r="F57" s="350">
        <v>0</v>
      </c>
      <c r="G57" s="330">
        <v>0</v>
      </c>
      <c r="H57" s="330">
        <v>0</v>
      </c>
      <c r="I57" s="330">
        <v>0</v>
      </c>
      <c r="J57" s="330">
        <f>IF(Data!BT212&gt;35,IF(Data!BT205=DATE(2100,1,1),0,IF(Data!BT205&gt;=Data!AT248,ROUND(C51*Data!BX205%,0.1),0)),0)</f>
        <v>0</v>
      </c>
      <c r="K57" s="330">
        <v>0</v>
      </c>
      <c r="L57" s="330">
        <v>0</v>
      </c>
      <c r="M57" s="350">
        <v>0</v>
      </c>
      <c r="N57" s="330">
        <f t="shared" si="62"/>
        <v>0</v>
      </c>
      <c r="O57" s="330">
        <v>0</v>
      </c>
      <c r="P57" s="330">
        <f>IF(Data!BT212&gt;35,IF(Data!BT205=DATE(2100,1,1),0,IF(Data!BT205&gt;=Data!AT248,Data!CA205,0)),0)</f>
        <v>0</v>
      </c>
      <c r="Q57" s="330">
        <f>IF(Data!BT212&gt;35,IF(Data!BT205=DATE(2100,1,1),0,IF(Data!BT205&gt;=Data!AT248,ROUND(P51*Data!CB205%,0.1),0)),0)</f>
        <v>0</v>
      </c>
      <c r="R57" s="330">
        <f>SUM(P57:Q57)</f>
        <v>0</v>
      </c>
      <c r="S57" s="331">
        <v>0</v>
      </c>
      <c r="T57" s="331">
        <v>0</v>
      </c>
      <c r="U57" s="330">
        <v>0</v>
      </c>
      <c r="V57" s="330">
        <v>0</v>
      </c>
      <c r="W57" s="330">
        <v>0</v>
      </c>
      <c r="X57" s="330">
        <f>IF(Data!BT212&gt;35,IF(Data!BT205=DATE(2100,1,1),0,IF(Data!BT205&gt;=Data!AT248,ROUND(P51*Data!CC205%,0.1),0)),0)</f>
        <v>0</v>
      </c>
      <c r="Y57" s="351">
        <v>0</v>
      </c>
      <c r="Z57" s="330">
        <v>0</v>
      </c>
      <c r="AA57" s="331">
        <v>0</v>
      </c>
      <c r="AB57" s="330">
        <f t="shared" si="63"/>
        <v>0</v>
      </c>
      <c r="AC57" s="352">
        <v>0</v>
      </c>
      <c r="AD57" s="349">
        <f t="shared" ref="AD57" si="75">C57-R57</f>
        <v>0</v>
      </c>
      <c r="AE57" s="321">
        <f t="shared" ref="AE57" si="76">E57</f>
        <v>0</v>
      </c>
      <c r="AF57" s="321">
        <f t="shared" ref="AF57" si="77">F57-T57</f>
        <v>0</v>
      </c>
      <c r="AG57" s="321">
        <f t="shared" ref="AG57" si="78">G57-U57</f>
        <v>0</v>
      </c>
      <c r="AH57" s="321">
        <f t="shared" ref="AH57" si="79">H57-V57</f>
        <v>0</v>
      </c>
      <c r="AI57" s="321">
        <f t="shared" ref="AI57" si="80">J57-X57</f>
        <v>0</v>
      </c>
      <c r="AJ57" s="321">
        <f t="shared" ref="AJ57" si="81">K57-Y57</f>
        <v>0</v>
      </c>
      <c r="AK57" s="321">
        <f t="shared" ref="AK57" si="82">L57-Z57</f>
        <v>0</v>
      </c>
      <c r="AL57" s="321">
        <f t="shared" ref="AL57" si="83">M57-AA57</f>
        <v>0</v>
      </c>
      <c r="AM57" s="321">
        <f t="shared" ref="AM57" si="84">SUM(AD57:AK57)</f>
        <v>0</v>
      </c>
      <c r="AN57" s="321">
        <f>O57-AC57</f>
        <v>0</v>
      </c>
      <c r="AO57" s="321">
        <f>IF(Data!O$11="CPS",(ROUND(C57*10%,0.1)+ROUND(E57*10%,0.1))-(ROUND(P57*10%,0.1)+ROUND(Q57*10%,0.1)),0)</f>
        <v>0</v>
      </c>
      <c r="AP57" s="259">
        <f t="shared" ref="AP57" si="85">AM57-AN57-AO57</f>
        <v>0</v>
      </c>
    </row>
    <row r="58" spans="1:42" s="255" customFormat="1" ht="24.75" customHeight="1">
      <c r="A58" s="752" t="str">
        <f>IF(Data!BT215&gt;35,IF(AND(Data!BT206&gt;=Data!AT248,Data!BT206&lt;DATE(2100,1,1)),"Promtion Arrears",IF(AND(Data!BT207&gt;=Data!AT248,Data!BT207&lt;DATE(2100,1,1)),"Promtion Arrears",IF(OR(Data!BT206=DATE(2100,1,1),Data!BT207=DATE(2100,1,1)),"No Promotion Arrears"))),"No Promotion Arrears")</f>
        <v>No Promotion Arrears</v>
      </c>
      <c r="B58" s="753"/>
      <c r="C58" s="330">
        <f>IF(Data!BT215&gt;35,IF(AND(Data!BT206&gt;=Data!AT248,Data!BT206&lt;DATE(2100,1,1)),Data!BV206,IF(AND(Data!BT207&gt;=Data!AT248,Data!BT207&lt;DATE(2100,1,1)),Data!BV207,IF(OR(Data!BT206=DATE(2100,1,1),Data!BT207=DATE(2100,1,1)),0,0))),0)</f>
        <v>0</v>
      </c>
      <c r="D58" s="350">
        <v>0</v>
      </c>
      <c r="E58" s="330">
        <f>IF(Data!BT215&gt;35,IF(AND(Data!BT206&gt;=Data!AT248,Data!BT206&lt;DATE(2100,1,1)),ROUND(C52*Data!BW206%,0.1),IF(AND(Data!BT207&gt;=Data!AT248,Data!BT207&lt;DATE(2100,1,1)),ROUND(C52*Data!BW207%,0.1),IF(OR(Data!BT206=DATE(2100,1,1),(Data!BT207=DATE(2100,1,1))),0))),0)</f>
        <v>0</v>
      </c>
      <c r="F58" s="350">
        <v>0</v>
      </c>
      <c r="G58" s="330">
        <v>0</v>
      </c>
      <c r="H58" s="330">
        <v>0</v>
      </c>
      <c r="I58" s="330">
        <v>0</v>
      </c>
      <c r="J58" s="330">
        <f>IF(Data!BT215&gt;35,IF(AND(Data!BT206&gt;=Data!AT248,Data!BT206&lt;DATE(2100,1,1)),ROUND(C52*Data!BX206%,0.1),IF(AND(Data!BT207&gt;=Data!AT248,Data!BT207&lt;DATE(2100,1,1)),ROUND(C52*Data!BX207%,0.1),IF(OR(Data!BT206=DATE(2100,1,1),(Data!BT207=DATE(2100,1,1))),0))),0)</f>
        <v>0</v>
      </c>
      <c r="K58" s="330">
        <v>0</v>
      </c>
      <c r="L58" s="330">
        <v>0</v>
      </c>
      <c r="M58" s="350">
        <v>0</v>
      </c>
      <c r="N58" s="330">
        <f t="shared" si="62"/>
        <v>0</v>
      </c>
      <c r="O58" s="330">
        <v>0</v>
      </c>
      <c r="P58" s="330">
        <f>IF(Data!BT215&gt;35,IF(AND(Data!BT206&gt;=Data!AT248,Data!BT206&lt;DATE(2100,1,1)),Data!CA206,IF(AND(Data!BT207&gt;=Data!AT248,Data!BT207&lt;DATE(2100,1,1)),Data!CA207,IF(OR(Data!BT206=DATE(2100,1,1),Data!BT207=DATE(2100,1,1)),0,0))),0)</f>
        <v>0</v>
      </c>
      <c r="Q58" s="330">
        <f>IF(Data!BT215&gt;35,IF(AND(Data!BT206&gt;=Data!AT248,Data!BT206&lt;DATE(2100,1,1)),ROUND(P52*Data!CB206%,0.1),IF(AND(Data!BT207&gt;=Data!AT248,Data!BT207&lt;DATE(2100,1,1)),ROUND(P52*Data!CB207%,0.1),IF(OR(Data!BT206=DATE(2100,1,1),(Data!BT207=DATE(2100,1,1))),0))),0)</f>
        <v>0</v>
      </c>
      <c r="R58" s="330">
        <f>SUM(P58:Q58)</f>
        <v>0</v>
      </c>
      <c r="S58" s="331">
        <v>0</v>
      </c>
      <c r="T58" s="331">
        <v>0</v>
      </c>
      <c r="U58" s="330">
        <v>0</v>
      </c>
      <c r="V58" s="330">
        <v>0</v>
      </c>
      <c r="W58" s="330">
        <v>0</v>
      </c>
      <c r="X58" s="330">
        <f>IF(Data!BT215&gt;35,IF(AND(Data!BT206&gt;=Data!AT248,Data!BT206&lt;DATE(2100,1,1)),ROUND(P52*Data!CC206%,0.1),IF(AND(Data!BT207&gt;=Data!AT248,Data!BT207&lt;DATE(2100,1,1)),ROUND(P52*Data!CC207%,0.1),IF(OR(Data!BT206=DATE(2100,1,1),(Data!BT207=DATE(2100,1,1))),0))),0)</f>
        <v>0</v>
      </c>
      <c r="Y58" s="351">
        <v>0</v>
      </c>
      <c r="Z58" s="330">
        <v>0</v>
      </c>
      <c r="AA58" s="331">
        <v>0</v>
      </c>
      <c r="AB58" s="330">
        <f t="shared" si="63"/>
        <v>0</v>
      </c>
      <c r="AC58" s="352">
        <v>0</v>
      </c>
      <c r="AD58" s="349">
        <f t="shared" ref="AD58" si="86">C58-R58</f>
        <v>0</v>
      </c>
      <c r="AE58" s="321">
        <f t="shared" ref="AE58" si="87">E58</f>
        <v>0</v>
      </c>
      <c r="AF58" s="321">
        <f t="shared" ref="AF58" si="88">F58-T58</f>
        <v>0</v>
      </c>
      <c r="AG58" s="321">
        <f t="shared" ref="AG58" si="89">G58-U58</f>
        <v>0</v>
      </c>
      <c r="AH58" s="321">
        <f t="shared" ref="AH58" si="90">H58-V58</f>
        <v>0</v>
      </c>
      <c r="AI58" s="321">
        <f t="shared" ref="AI58" si="91">J58-X58</f>
        <v>0</v>
      </c>
      <c r="AJ58" s="321">
        <f t="shared" ref="AJ58" si="92">K58-Y58</f>
        <v>0</v>
      </c>
      <c r="AK58" s="321">
        <f t="shared" ref="AK58" si="93">L58-Z58</f>
        <v>0</v>
      </c>
      <c r="AL58" s="321">
        <f t="shared" ref="AL58" si="94">M58-AA58</f>
        <v>0</v>
      </c>
      <c r="AM58" s="321">
        <f t="shared" ref="AM58" si="95">SUM(AD58:AK58)</f>
        <v>0</v>
      </c>
      <c r="AN58" s="321">
        <f>O58-AC58</f>
        <v>0</v>
      </c>
      <c r="AO58" s="321">
        <f>IF(Data!O$11="CPS",(ROUND(C58*10%,0.1)+ROUND(E58*10%,0.1))-(ROUND(P58*10%,0.1)+ROUND(Q58*10%,0.1)),0)</f>
        <v>0</v>
      </c>
      <c r="AP58" s="259">
        <f t="shared" ref="AP58" si="96">AM58-AN58-AO58</f>
        <v>0</v>
      </c>
    </row>
    <row r="59" spans="1:42" s="255" customFormat="1" ht="24.75" customHeight="1" thickBot="1">
      <c r="A59" s="772" t="str">
        <f>IF(Data!AL296&gt;35,IF(Data!AK293&gt;=Data!AT248,Data!AK296,IF(Data!AK294&gt;=Data!AT248,Data!AK297,"No SL")),IF(Data!AL297&gt;35,IF(Data!AK293&gt;=Data!AT248,Data!AK296,IF(Data!AK294&gt;=Data!AT248,Data!AK297,"No SL")),"No SL"))</f>
        <v>No SL</v>
      </c>
      <c r="B59" s="773"/>
      <c r="C59" s="334">
        <f>IF(Data!AL296&gt;35,IF(Data!AK293&gt;=Data!AT248,Data!AO293,IF(Data!AK294&gt;=Data!AT248,Data!AO294,"0")),IF(Data!AL297&gt;35,IF(Data!AK293&gt;=Data!AT248,Data!AO293,IF(Data!AK294&gt;=Data!AT248,Data!AO294,"0")),0))</f>
        <v>0</v>
      </c>
      <c r="D59" s="353">
        <v>0</v>
      </c>
      <c r="E59" s="334">
        <f>IF(Data!AL296&gt;35,IF(Data!AK293&gt;=Data!AT248,Data!AP293,IF(Data!AK294&gt;=Data!AT248,Data!AP294,"0")),IF(Data!AL297&gt;35,IF(Data!AK293&gt;=Data!AT248,Data!AP293,IF(Data!AK294&gt;=Data!AT248,Data!AP294,"0")),0))</f>
        <v>0</v>
      </c>
      <c r="F59" s="353">
        <v>0</v>
      </c>
      <c r="G59" s="334">
        <v>0</v>
      </c>
      <c r="H59" s="334">
        <v>0</v>
      </c>
      <c r="I59" s="334">
        <v>0</v>
      </c>
      <c r="J59" s="334">
        <f>IF(Data!AL296&gt;35,IF(Data!AK293&gt;=Data!AT248,Data!AQ293,IF(Data!AK294&gt;=Data!AT248,Data!AQ294,"0")),IF(Data!AL297&gt;35,IF(Data!AK293&gt;=Data!AT248,Data!AQ293,IF(Data!AK294&gt;=Data!AT248,Data!AQ294,"0")),0))</f>
        <v>0</v>
      </c>
      <c r="K59" s="334">
        <v>0</v>
      </c>
      <c r="L59" s="334">
        <v>0</v>
      </c>
      <c r="M59" s="353">
        <v>0</v>
      </c>
      <c r="N59" s="334">
        <f t="shared" si="62"/>
        <v>0</v>
      </c>
      <c r="O59" s="334">
        <v>0</v>
      </c>
      <c r="P59" s="334">
        <f>IF(Data!AL296&gt;35,IF(Data!AK293&gt;=Data!AT248,Data!AV293,IF(Data!AK294&gt;=Data!AT248,Data!AV294,"0")),IF(Data!AL297&gt;35,IF(Data!AK293&gt;=Data!AT248,Data!AV293,IF(Data!AK294&gt;=Data!AT248,Data!AV294,"0")),0))</f>
        <v>0</v>
      </c>
      <c r="Q59" s="334">
        <f>IF(Data!AL296&gt;35,IF(Data!AK293&gt;=Data!AT248,Data!AW293,IF(Data!AK294&gt;=Data!AT248,Data!AW294,"0")),IF(Data!AL297&gt;35,IF(Data!AK293&gt;=Data!AT248,Data!AW293,IF(Data!AK294&gt;=Data!AT248,Data!AW294,"0")),0))</f>
        <v>0</v>
      </c>
      <c r="R59" s="334">
        <f>SUM(P59:Q59)</f>
        <v>0</v>
      </c>
      <c r="S59" s="335">
        <v>0</v>
      </c>
      <c r="T59" s="335">
        <v>0</v>
      </c>
      <c r="U59" s="334">
        <v>0</v>
      </c>
      <c r="V59" s="334">
        <v>0</v>
      </c>
      <c r="W59" s="334">
        <v>0</v>
      </c>
      <c r="X59" s="334">
        <f>IF(Data!AL296&gt;35,IF(Data!AK293&gt;=Data!AT248,Data!AX293,IF(Data!AK294&gt;=Data!AT248,Data!AX294,"0")),IF(Data!AL297&gt;35,IF(Data!AK293&gt;=Data!AT248,Data!AX293,IF(Data!AK294&gt;=Data!AT248,Data!AX294,"0")),0))</f>
        <v>0</v>
      </c>
      <c r="Y59" s="354">
        <v>0</v>
      </c>
      <c r="Z59" s="334">
        <v>0</v>
      </c>
      <c r="AA59" s="335">
        <v>0</v>
      </c>
      <c r="AB59" s="334">
        <v>0</v>
      </c>
      <c r="AC59" s="355">
        <v>0</v>
      </c>
      <c r="AD59" s="356">
        <f t="shared" ref="AD59" si="97">C59-R59</f>
        <v>0</v>
      </c>
      <c r="AE59" s="332">
        <f t="shared" ref="AE59" si="98">E59</f>
        <v>0</v>
      </c>
      <c r="AF59" s="332">
        <f t="shared" ref="AF59" si="99">F59-T59</f>
        <v>0</v>
      </c>
      <c r="AG59" s="332">
        <f t="shared" ref="AG59" si="100">G59-U59</f>
        <v>0</v>
      </c>
      <c r="AH59" s="332">
        <f t="shared" ref="AH59" si="101">H59-V59</f>
        <v>0</v>
      </c>
      <c r="AI59" s="332">
        <f t="shared" ref="AI59" si="102">J59-X59</f>
        <v>0</v>
      </c>
      <c r="AJ59" s="332">
        <f t="shared" ref="AJ59" si="103">K59-Y59</f>
        <v>0</v>
      </c>
      <c r="AK59" s="332">
        <f t="shared" ref="AK59" si="104">L59-Z59</f>
        <v>0</v>
      </c>
      <c r="AL59" s="332">
        <f t="shared" ref="AL59" si="105">M59-AA59</f>
        <v>0</v>
      </c>
      <c r="AM59" s="332">
        <f t="shared" ref="AM59" si="106">SUM(AD59:AK59)</f>
        <v>0</v>
      </c>
      <c r="AN59" s="332">
        <f>O59-AC59</f>
        <v>0</v>
      </c>
      <c r="AO59" s="332">
        <f>IF(Data!O$11="CPS",(ROUND(C59*10%,0.1)+ROUND(E59*10%,0.1))-(ROUND(P59*10%,0.1)+ROUND(Q59*10%,0.1)),0)</f>
        <v>0</v>
      </c>
      <c r="AP59" s="302">
        <f t="shared" ref="AP59" si="107">AM59-AN59-AO59</f>
        <v>0</v>
      </c>
    </row>
    <row r="60" spans="1:42" s="255" customFormat="1" ht="25.5" customHeight="1" thickBot="1">
      <c r="A60" s="756" t="s">
        <v>462</v>
      </c>
      <c r="B60" s="757"/>
      <c r="C60" s="757"/>
      <c r="D60" s="757"/>
      <c r="E60" s="757"/>
      <c r="F60" s="757"/>
      <c r="G60" s="757"/>
      <c r="H60" s="757"/>
      <c r="I60" s="757"/>
      <c r="J60" s="757"/>
      <c r="K60" s="757"/>
      <c r="L60" s="757"/>
      <c r="M60" s="757"/>
      <c r="N60" s="757"/>
      <c r="O60" s="757"/>
      <c r="P60" s="757"/>
      <c r="Q60" s="757"/>
      <c r="R60" s="757"/>
      <c r="S60" s="757"/>
      <c r="T60" s="757"/>
      <c r="U60" s="757"/>
      <c r="V60" s="757"/>
      <c r="W60" s="757"/>
      <c r="X60" s="757"/>
      <c r="Y60" s="757"/>
      <c r="Z60" s="757"/>
      <c r="AA60" s="757"/>
      <c r="AB60" s="757"/>
      <c r="AC60" s="758"/>
      <c r="AD60" s="297">
        <f t="shared" ref="AD60:AP60" si="108">SUM(AD55:AD56)</f>
        <v>0</v>
      </c>
      <c r="AE60" s="263">
        <f t="shared" si="108"/>
        <v>0</v>
      </c>
      <c r="AF60" s="298">
        <f t="shared" si="108"/>
        <v>0</v>
      </c>
      <c r="AG60" s="263">
        <f t="shared" si="108"/>
        <v>0</v>
      </c>
      <c r="AH60" s="298">
        <f t="shared" si="108"/>
        <v>0</v>
      </c>
      <c r="AI60" s="263">
        <f t="shared" si="108"/>
        <v>0</v>
      </c>
      <c r="AJ60" s="298">
        <f t="shared" si="108"/>
        <v>0</v>
      </c>
      <c r="AK60" s="263">
        <f t="shared" si="108"/>
        <v>0</v>
      </c>
      <c r="AL60" s="298">
        <f t="shared" si="108"/>
        <v>0</v>
      </c>
      <c r="AM60" s="263">
        <f t="shared" si="108"/>
        <v>0</v>
      </c>
      <c r="AN60" s="298">
        <f t="shared" si="108"/>
        <v>0</v>
      </c>
      <c r="AO60" s="263">
        <f t="shared" si="108"/>
        <v>0</v>
      </c>
      <c r="AP60" s="299">
        <f t="shared" si="108"/>
        <v>0</v>
      </c>
    </row>
    <row r="61" spans="1:42" s="271" customFormat="1" ht="15" customHeight="1">
      <c r="A61" s="265"/>
      <c r="B61" s="266"/>
      <c r="C61" s="267"/>
      <c r="D61" s="268"/>
      <c r="E61" s="268"/>
      <c r="F61" s="268"/>
      <c r="G61" s="268"/>
      <c r="H61" s="268"/>
      <c r="I61" s="268"/>
      <c r="J61" s="268"/>
      <c r="K61" s="268"/>
      <c r="L61" s="268"/>
      <c r="M61" s="268"/>
      <c r="N61" s="268"/>
      <c r="O61" s="268"/>
      <c r="P61" s="268"/>
      <c r="Q61" s="268"/>
      <c r="R61" s="269"/>
      <c r="S61" s="269"/>
      <c r="T61" s="268"/>
      <c r="U61" s="268"/>
      <c r="V61" s="268"/>
      <c r="W61" s="269"/>
      <c r="X61" s="268"/>
      <c r="Y61" s="268"/>
      <c r="Z61" s="268"/>
      <c r="AA61" s="268"/>
      <c r="AB61" s="268"/>
      <c r="AC61" s="266"/>
      <c r="AD61" s="266"/>
      <c r="AE61" s="270"/>
      <c r="AF61" s="266"/>
      <c r="AG61" s="270"/>
      <c r="AH61" s="270"/>
      <c r="AI61" s="270"/>
      <c r="AJ61" s="270"/>
      <c r="AK61" s="270"/>
      <c r="AL61" s="270"/>
      <c r="AM61" s="270"/>
      <c r="AN61" s="270"/>
      <c r="AO61" s="270"/>
      <c r="AP61" s="270"/>
    </row>
    <row r="62" spans="1:42" s="271" customFormat="1" ht="15" customHeight="1">
      <c r="A62" s="265"/>
      <c r="B62" s="266"/>
      <c r="C62" s="267"/>
      <c r="D62" s="268"/>
      <c r="E62" s="268"/>
      <c r="F62" s="268"/>
      <c r="G62" s="268"/>
      <c r="H62" s="268"/>
      <c r="I62" s="268"/>
      <c r="J62" s="268"/>
      <c r="K62" s="268"/>
      <c r="L62" s="268"/>
      <c r="M62" s="268"/>
      <c r="N62" s="268"/>
      <c r="O62" s="268"/>
      <c r="P62" s="268"/>
      <c r="Q62" s="268"/>
      <c r="R62" s="269"/>
      <c r="S62" s="269"/>
      <c r="T62" s="268"/>
      <c r="U62" s="268"/>
      <c r="V62" s="268"/>
      <c r="W62" s="269"/>
      <c r="X62" s="268"/>
      <c r="Y62" s="268"/>
      <c r="Z62" s="268"/>
      <c r="AA62" s="268"/>
      <c r="AB62" s="268"/>
      <c r="AC62" s="266"/>
      <c r="AD62" s="266"/>
      <c r="AE62" s="270"/>
      <c r="AF62" s="266"/>
      <c r="AG62" s="270"/>
      <c r="AH62" s="270"/>
      <c r="AI62" s="270"/>
      <c r="AJ62" s="270"/>
      <c r="AK62" s="270"/>
      <c r="AL62" s="270"/>
      <c r="AM62" s="270"/>
      <c r="AN62" s="270"/>
      <c r="AO62" s="270"/>
      <c r="AP62" s="270"/>
    </row>
    <row r="63" spans="1:42" s="271" customFormat="1" ht="15" customHeight="1">
      <c r="A63" s="265"/>
      <c r="B63" s="266"/>
      <c r="C63" s="267"/>
      <c r="D63" s="268"/>
      <c r="E63" s="268"/>
      <c r="F63" s="268"/>
      <c r="G63" s="268"/>
      <c r="H63" s="268"/>
      <c r="I63" s="268"/>
      <c r="J63" s="268"/>
      <c r="K63" s="268"/>
      <c r="L63" s="268"/>
      <c r="M63" s="268"/>
      <c r="N63" s="268"/>
      <c r="O63" s="268"/>
      <c r="P63" s="268"/>
      <c r="Q63" s="268"/>
      <c r="R63" s="269"/>
      <c r="S63" s="269"/>
      <c r="T63" s="268"/>
      <c r="U63" s="268"/>
      <c r="V63" s="268"/>
      <c r="W63" s="269"/>
      <c r="X63" s="268"/>
      <c r="Y63" s="268"/>
      <c r="Z63" s="268"/>
      <c r="AA63" s="268"/>
      <c r="AB63" s="268"/>
      <c r="AC63" s="266"/>
      <c r="AD63" s="266"/>
      <c r="AE63" s="270"/>
      <c r="AF63" s="266"/>
      <c r="AG63" s="270"/>
      <c r="AH63" s="270"/>
      <c r="AI63" s="270"/>
      <c r="AJ63" s="270"/>
      <c r="AK63" s="270"/>
      <c r="AL63" s="270"/>
      <c r="AM63" s="270"/>
      <c r="AN63" s="270"/>
      <c r="AO63" s="270"/>
      <c r="AP63" s="270"/>
    </row>
    <row r="64" spans="1:42" ht="21">
      <c r="A64" s="271"/>
      <c r="S64" s="272"/>
      <c r="T64" s="272"/>
      <c r="U64" s="272"/>
      <c r="V64" s="272"/>
      <c r="W64" s="272"/>
      <c r="X64" s="271"/>
      <c r="Y64" s="272"/>
      <c r="Z64" s="271"/>
      <c r="AA64" s="272"/>
      <c r="AB64" s="271"/>
      <c r="AC64" s="271"/>
      <c r="AD64" s="271"/>
      <c r="AE64" s="270"/>
      <c r="AF64" s="271"/>
      <c r="AG64" s="270" t="s">
        <v>171</v>
      </c>
      <c r="AH64" s="270"/>
      <c r="AI64" s="270"/>
      <c r="AJ64" s="270"/>
      <c r="AK64" s="270"/>
      <c r="AL64" s="270"/>
      <c r="AM64" s="270"/>
      <c r="AN64" s="270"/>
      <c r="AO64" s="270"/>
      <c r="AP64" s="270"/>
    </row>
    <row r="65" spans="2:18"/>
    <row r="66" spans="2:18" ht="16.5" customHeight="1"/>
    <row r="67" spans="2:18" ht="12.75" thickBot="1"/>
    <row r="68" spans="2:18" ht="13.5" customHeight="1" thickBot="1">
      <c r="B68" s="738" t="s">
        <v>322</v>
      </c>
      <c r="C68" s="739"/>
      <c r="D68" s="739"/>
      <c r="E68" s="739"/>
      <c r="F68" s="739"/>
      <c r="G68" s="739"/>
      <c r="H68" s="739"/>
      <c r="I68" s="739"/>
      <c r="J68" s="739"/>
      <c r="K68" s="739"/>
      <c r="L68" s="739"/>
      <c r="M68" s="739"/>
      <c r="N68" s="739"/>
      <c r="O68" s="739"/>
      <c r="P68" s="739"/>
      <c r="Q68" s="739"/>
      <c r="R68" s="740"/>
    </row>
    <row r="69" spans="2:18"/>
    <row r="70" spans="2:18"/>
    <row r="71" spans="2:18"/>
    <row r="72" spans="2:18"/>
    <row r="73" spans="2:18"/>
    <row r="74" spans="2:18"/>
    <row r="75" spans="2:18"/>
    <row r="76" spans="2:18"/>
    <row r="77" spans="2:18"/>
    <row r="78" spans="2:18"/>
    <row r="79" spans="2:18"/>
    <row r="80" spans="2:18"/>
    <row r="81"/>
    <row r="82"/>
    <row r="83"/>
    <row r="84"/>
    <row r="85"/>
    <row r="86"/>
    <row r="87"/>
    <row r="88"/>
    <row r="89"/>
  </sheetData>
  <sheetProtection password="D8E3" sheet="1" objects="1" scenarios="1"/>
  <customSheetViews>
    <customSheetView guid="{F60E2261-838F-4117-A98D-7C5CFDCC0021}" showGridLines="0" showRowCol="0" hiddenRows="1" hiddenColumns="1">
      <pane xSplit="2" ySplit="5" topLeftCell="C6" activePane="bottomRight" state="frozen"/>
      <selection pane="bottomRight" activeCell="W57" sqref="W57"/>
      <pageMargins left="0.39370078740157483" right="0.31496062992125984" top="0.59055118110236227" bottom="0.59055118110236227" header="0.31496062992125984" footer="0.31496062992125984"/>
      <pageSetup paperSize="9" scale="60" orientation="landscape" r:id="rId1"/>
    </customSheetView>
    <customSheetView guid="{5633FAF7-B486-4D0B-84AB-497A2BE1B953}" showGridLines="0" showRowCol="0" hiddenRows="1" hiddenColumns="1">
      <pane xSplit="2" ySplit="5" topLeftCell="C6" activePane="bottomRight" state="frozen"/>
      <selection pane="bottomRight" activeCell="W57" sqref="W57"/>
      <pageMargins left="0.39370078740157483" right="0.31496062992125984" top="0.59055118110236227" bottom="0.59055118110236227" header="0.31496062992125984" footer="0.31496062992125984"/>
      <pageSetup paperSize="9" scale="60" orientation="landscape" r:id="rId2"/>
    </customSheetView>
  </customSheetViews>
  <mergeCells count="32">
    <mergeCell ref="A57:B57"/>
    <mergeCell ref="A58:B58"/>
    <mergeCell ref="A59:B59"/>
    <mergeCell ref="A54:AC54"/>
    <mergeCell ref="A47:AC47"/>
    <mergeCell ref="A45:B45"/>
    <mergeCell ref="A46:B46"/>
    <mergeCell ref="A1:AP1"/>
    <mergeCell ref="A2:F2"/>
    <mergeCell ref="AP3:AP4"/>
    <mergeCell ref="A5:AP5"/>
    <mergeCell ref="A31:AP31"/>
    <mergeCell ref="AD3:AM3"/>
    <mergeCell ref="AC3:AC4"/>
    <mergeCell ref="AN3:AN4"/>
    <mergeCell ref="AO3:AO4"/>
    <mergeCell ref="B68:R68"/>
    <mergeCell ref="A3:A4"/>
    <mergeCell ref="B3:B4"/>
    <mergeCell ref="C3:N3"/>
    <mergeCell ref="O3:O4"/>
    <mergeCell ref="P3:AB3"/>
    <mergeCell ref="A48:AP48"/>
    <mergeCell ref="A27:B27"/>
    <mergeCell ref="A28:B28"/>
    <mergeCell ref="A29:B29"/>
    <mergeCell ref="A60:AC60"/>
    <mergeCell ref="A51:B51"/>
    <mergeCell ref="A52:B52"/>
    <mergeCell ref="A53:B53"/>
    <mergeCell ref="A30:AC30"/>
    <mergeCell ref="A44:B44"/>
  </mergeCells>
  <pageMargins left="0.39370078740157483" right="0.31496062992125984" top="0.59055118110236227" bottom="0.59055118110236227" header="0.31496062992125984" footer="0.31496062992125984"/>
  <pageSetup paperSize="9" scale="6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Data</vt:lpstr>
      <vt:lpstr>Proceeding</vt:lpstr>
      <vt:lpstr>Option</vt:lpstr>
      <vt:lpstr>Appendix</vt:lpstr>
      <vt:lpstr>Annexures</vt:lpstr>
      <vt:lpstr>Difference</vt:lpstr>
      <vt:lpstr>Appendix!Print_Area</vt:lpstr>
      <vt:lpstr>Option!Print_Area</vt:lpstr>
      <vt:lpstr>Difference!Print_Titles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putta</dc:creator>
  <cp:lastModifiedBy>yser</cp:lastModifiedBy>
  <cp:lastPrinted>2021-06-15T07:00:36Z</cp:lastPrinted>
  <dcterms:created xsi:type="dcterms:W3CDTF">2021-03-12T15:07:39Z</dcterms:created>
  <dcterms:modified xsi:type="dcterms:W3CDTF">2021-06-16T15:03:30Z</dcterms:modified>
</cp:coreProperties>
</file>